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A\Desktop\PAAAPS-2025\"/>
    </mc:Choice>
  </mc:AlternateContent>
  <xr:revisionPtr revIDLastSave="0" documentId="8_{CA7A17E1-8789-4702-9AA0-B7C2D196C0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BG PAAAPS 2025 P IMPRIMIR" sheetId="2" r:id="rId1"/>
  </sheets>
  <definedNames>
    <definedName name="_xlnm.Print_Area" localSheetId="0">'SHBG PAAAPS 2025 P IMPRIMIR'!$A$1:$AK$617</definedName>
    <definedName name="_xlnm.Print_Titles" localSheetId="0">'SHBG PAAAPS 2025 P IMPRIMIR'!$1:$8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09" i="2" l="1"/>
  <c r="L608" i="2"/>
  <c r="L607" i="2"/>
  <c r="L606" i="2"/>
  <c r="M606" i="2"/>
  <c r="L604" i="2"/>
  <c r="L599" i="2"/>
  <c r="L594" i="2"/>
  <c r="L581" i="2"/>
  <c r="L580" i="2"/>
  <c r="L579" i="2"/>
  <c r="L572" i="2"/>
  <c r="L565" i="2"/>
  <c r="L564" i="2"/>
  <c r="AG547" i="2"/>
  <c r="S547" i="2"/>
  <c r="L547" i="2"/>
  <c r="L546" i="2" s="1"/>
  <c r="L545" i="2"/>
  <c r="AK526" i="2"/>
  <c r="AI526" i="2"/>
  <c r="AG526" i="2"/>
  <c r="AE526" i="2"/>
  <c r="AC526" i="2"/>
  <c r="AA526" i="2"/>
  <c r="Y526" i="2"/>
  <c r="W526" i="2"/>
  <c r="U526" i="2"/>
  <c r="S526" i="2"/>
  <c r="Q526" i="2"/>
  <c r="O526" i="2"/>
  <c r="L526" i="2"/>
  <c r="L501" i="2"/>
  <c r="N501" i="2"/>
  <c r="O501" i="2" s="1"/>
  <c r="P501" i="2"/>
  <c r="Q501" i="2" s="1"/>
  <c r="R501" i="2"/>
  <c r="S501" i="2" s="1"/>
  <c r="T501" i="2"/>
  <c r="U501" i="2" s="1"/>
  <c r="V501" i="2"/>
  <c r="W501" i="2" s="1"/>
  <c r="X501" i="2"/>
  <c r="Y501" i="2" s="1"/>
  <c r="Z501" i="2"/>
  <c r="AA501" i="2" s="1"/>
  <c r="AB501" i="2"/>
  <c r="AC501" i="2" s="1"/>
  <c r="AD501" i="2"/>
  <c r="AE501" i="2" s="1"/>
  <c r="AF501" i="2"/>
  <c r="AG501" i="2" s="1"/>
  <c r="AH501" i="2"/>
  <c r="AI501" i="2" s="1"/>
  <c r="AJ501" i="2"/>
  <c r="AK501" i="2" s="1"/>
  <c r="AK513" i="2"/>
  <c r="AI513" i="2"/>
  <c r="AG513" i="2"/>
  <c r="AE513" i="2"/>
  <c r="AC513" i="2"/>
  <c r="AA513" i="2"/>
  <c r="Y513" i="2"/>
  <c r="W513" i="2"/>
  <c r="U513" i="2"/>
  <c r="S513" i="2"/>
  <c r="Q513" i="2"/>
  <c r="O513" i="2"/>
  <c r="L513" i="2"/>
  <c r="L512" i="2" s="1"/>
  <c r="AL512" i="2"/>
  <c r="M512" i="2"/>
  <c r="L498" i="2"/>
  <c r="L497" i="2" s="1"/>
  <c r="AL513" i="2" l="1"/>
  <c r="AL547" i="2"/>
  <c r="AL526" i="2"/>
  <c r="AL501" i="2"/>
  <c r="AJ496" i="2" l="1"/>
  <c r="AK496" i="2" s="1"/>
  <c r="AH496" i="2"/>
  <c r="AI496" i="2" s="1"/>
  <c r="AF496" i="2"/>
  <c r="AG496" i="2" s="1"/>
  <c r="AD496" i="2"/>
  <c r="AE496" i="2" s="1"/>
  <c r="AB496" i="2"/>
  <c r="AC496" i="2" s="1"/>
  <c r="Z496" i="2"/>
  <c r="AA496" i="2" s="1"/>
  <c r="X496" i="2"/>
  <c r="Y496" i="2" s="1"/>
  <c r="V496" i="2"/>
  <c r="W496" i="2" s="1"/>
  <c r="T496" i="2"/>
  <c r="U496" i="2" s="1"/>
  <c r="R496" i="2"/>
  <c r="S496" i="2" s="1"/>
  <c r="P496" i="2"/>
  <c r="Q496" i="2" s="1"/>
  <c r="N496" i="2"/>
  <c r="O496" i="2" s="1"/>
  <c r="L496" i="2"/>
  <c r="L495" i="2" s="1"/>
  <c r="AJ493" i="2"/>
  <c r="AK493" i="2" s="1"/>
  <c r="AH493" i="2"/>
  <c r="AI493" i="2" s="1"/>
  <c r="AF493" i="2"/>
  <c r="AG493" i="2" s="1"/>
  <c r="AD493" i="2"/>
  <c r="AE493" i="2" s="1"/>
  <c r="AB493" i="2"/>
  <c r="AC493" i="2" s="1"/>
  <c r="Z493" i="2"/>
  <c r="AA493" i="2" s="1"/>
  <c r="X493" i="2"/>
  <c r="Y493" i="2" s="1"/>
  <c r="V493" i="2"/>
  <c r="W493" i="2" s="1"/>
  <c r="T493" i="2"/>
  <c r="U493" i="2" s="1"/>
  <c r="R493" i="2"/>
  <c r="S493" i="2" s="1"/>
  <c r="P493" i="2"/>
  <c r="Q493" i="2" s="1"/>
  <c r="N493" i="2"/>
  <c r="O493" i="2" s="1"/>
  <c r="L493" i="2"/>
  <c r="L490" i="2"/>
  <c r="L481" i="2"/>
  <c r="AJ471" i="2"/>
  <c r="AK471" i="2" s="1"/>
  <c r="AH471" i="2"/>
  <c r="AI471" i="2" s="1"/>
  <c r="AF471" i="2"/>
  <c r="AG471" i="2" s="1"/>
  <c r="AD471" i="2"/>
  <c r="AE471" i="2" s="1"/>
  <c r="AB471" i="2"/>
  <c r="AC471" i="2" s="1"/>
  <c r="Z471" i="2"/>
  <c r="AA471" i="2" s="1"/>
  <c r="X471" i="2"/>
  <c r="Y471" i="2" s="1"/>
  <c r="V471" i="2"/>
  <c r="W471" i="2" s="1"/>
  <c r="T471" i="2"/>
  <c r="U471" i="2" s="1"/>
  <c r="R471" i="2"/>
  <c r="S471" i="2" s="1"/>
  <c r="P471" i="2"/>
  <c r="Q471" i="2" s="1"/>
  <c r="N471" i="2"/>
  <c r="O471" i="2" s="1"/>
  <c r="L471" i="2"/>
  <c r="AJ466" i="2"/>
  <c r="AK466" i="2" s="1"/>
  <c r="AH466" i="2"/>
  <c r="AI466" i="2" s="1"/>
  <c r="AF466" i="2"/>
  <c r="AG466" i="2" s="1"/>
  <c r="AD466" i="2"/>
  <c r="AE466" i="2" s="1"/>
  <c r="AB466" i="2"/>
  <c r="AC466" i="2" s="1"/>
  <c r="Z466" i="2"/>
  <c r="AA466" i="2" s="1"/>
  <c r="X466" i="2"/>
  <c r="Y466" i="2" s="1"/>
  <c r="V466" i="2"/>
  <c r="W466" i="2" s="1"/>
  <c r="T466" i="2"/>
  <c r="U466" i="2" s="1"/>
  <c r="R466" i="2"/>
  <c r="S466" i="2" s="1"/>
  <c r="P466" i="2"/>
  <c r="Q466" i="2" s="1"/>
  <c r="N466" i="2"/>
  <c r="O466" i="2" s="1"/>
  <c r="L466" i="2"/>
  <c r="L465" i="2" s="1"/>
  <c r="M465" i="2"/>
  <c r="L464" i="2"/>
  <c r="L463" i="2" s="1"/>
  <c r="L462" i="2"/>
  <c r="AJ464" i="2"/>
  <c r="AK464" i="2" s="1"/>
  <c r="AH464" i="2"/>
  <c r="AI464" i="2" s="1"/>
  <c r="AF464" i="2"/>
  <c r="AG464" i="2" s="1"/>
  <c r="AD464" i="2"/>
  <c r="AE464" i="2" s="1"/>
  <c r="AB464" i="2"/>
  <c r="AC464" i="2" s="1"/>
  <c r="Z464" i="2"/>
  <c r="AA464" i="2" s="1"/>
  <c r="X464" i="2"/>
  <c r="Y464" i="2" s="1"/>
  <c r="V464" i="2"/>
  <c r="W464" i="2" s="1"/>
  <c r="T464" i="2"/>
  <c r="U464" i="2" s="1"/>
  <c r="R464" i="2"/>
  <c r="S464" i="2" s="1"/>
  <c r="P464" i="2"/>
  <c r="Q464" i="2" s="1"/>
  <c r="N464" i="2"/>
  <c r="O464" i="2" s="1"/>
  <c r="M463" i="2"/>
  <c r="AK453" i="2"/>
  <c r="AI453" i="2"/>
  <c r="AG453" i="2"/>
  <c r="AE453" i="2"/>
  <c r="AC453" i="2"/>
  <c r="AA453" i="2"/>
  <c r="Y453" i="2"/>
  <c r="W453" i="2"/>
  <c r="S453" i="2"/>
  <c r="Q453" i="2"/>
  <c r="O453" i="2"/>
  <c r="L453" i="2"/>
  <c r="AK452" i="2"/>
  <c r="AI452" i="2"/>
  <c r="AG452" i="2"/>
  <c r="AE452" i="2"/>
  <c r="AC452" i="2"/>
  <c r="AA452" i="2"/>
  <c r="Y452" i="2"/>
  <c r="W452" i="2"/>
  <c r="S452" i="2"/>
  <c r="Q452" i="2"/>
  <c r="O452" i="2"/>
  <c r="L452" i="2"/>
  <c r="AK451" i="2"/>
  <c r="AI451" i="2"/>
  <c r="AG451" i="2"/>
  <c r="AE451" i="2"/>
  <c r="AC451" i="2"/>
  <c r="AA451" i="2"/>
  <c r="Y451" i="2"/>
  <c r="W451" i="2"/>
  <c r="S451" i="2"/>
  <c r="Q451" i="2"/>
  <c r="O451" i="2"/>
  <c r="L451" i="2"/>
  <c r="AK444" i="2"/>
  <c r="AI444" i="2"/>
  <c r="AG444" i="2"/>
  <c r="AE444" i="2"/>
  <c r="AC444" i="2"/>
  <c r="AA444" i="2"/>
  <c r="Y444" i="2"/>
  <c r="W444" i="2"/>
  <c r="U444" i="2"/>
  <c r="S444" i="2"/>
  <c r="Q444" i="2"/>
  <c r="O444" i="2"/>
  <c r="L444" i="2"/>
  <c r="L443" i="2" s="1"/>
  <c r="AK436" i="2"/>
  <c r="AI436" i="2"/>
  <c r="AG436" i="2"/>
  <c r="AE436" i="2"/>
  <c r="AC436" i="2"/>
  <c r="AA436" i="2"/>
  <c r="Y436" i="2"/>
  <c r="W436" i="2"/>
  <c r="U436" i="2"/>
  <c r="S436" i="2"/>
  <c r="Q436" i="2"/>
  <c r="O436" i="2"/>
  <c r="L436" i="2"/>
  <c r="L435" i="2" s="1"/>
  <c r="W434" i="2"/>
  <c r="L383" i="2"/>
  <c r="L382" i="2"/>
  <c r="L368" i="2"/>
  <c r="L367" i="2"/>
  <c r="L366" i="2"/>
  <c r="L364" i="2"/>
  <c r="S364" i="2"/>
  <c r="AL364" i="2" s="1"/>
  <c r="L365" i="2"/>
  <c r="U365" i="2"/>
  <c r="AL365" i="2" s="1"/>
  <c r="S358" i="2"/>
  <c r="AL358" i="2" s="1"/>
  <c r="L358" i="2"/>
  <c r="S357" i="2"/>
  <c r="AL357" i="2" s="1"/>
  <c r="L357" i="2"/>
  <c r="AE349" i="2"/>
  <c r="U349" i="2"/>
  <c r="L349" i="2"/>
  <c r="L348" i="2" s="1"/>
  <c r="L340" i="2"/>
  <c r="L339" i="2"/>
  <c r="L323" i="2"/>
  <c r="L322" i="2"/>
  <c r="L320" i="2"/>
  <c r="L319" i="2" s="1"/>
  <c r="L318" i="2"/>
  <c r="L317" i="2" s="1"/>
  <c r="L316" i="2"/>
  <c r="L315" i="2" s="1"/>
  <c r="AI312" i="2"/>
  <c r="AA312" i="2"/>
  <c r="U312" i="2"/>
  <c r="Q312" i="2"/>
  <c r="L312" i="2"/>
  <c r="AI311" i="2"/>
  <c r="AA311" i="2"/>
  <c r="U311" i="2"/>
  <c r="Q311" i="2"/>
  <c r="L311" i="2"/>
  <c r="W291" i="2"/>
  <c r="AL291" i="2" s="1"/>
  <c r="L291" i="2"/>
  <c r="L259" i="2"/>
  <c r="L232" i="2"/>
  <c r="U232" i="2"/>
  <c r="AL232" i="2" s="1"/>
  <c r="AL496" i="2" l="1"/>
  <c r="AL493" i="2"/>
  <c r="AL471" i="2"/>
  <c r="AL466" i="2"/>
  <c r="AL444" i="2"/>
  <c r="AL452" i="2"/>
  <c r="AL451" i="2"/>
  <c r="AL453" i="2"/>
  <c r="AL464" i="2"/>
  <c r="AL436" i="2"/>
  <c r="Y434" i="2"/>
  <c r="AC434" i="2"/>
  <c r="O434" i="2"/>
  <c r="AI434" i="2"/>
  <c r="L434" i="2"/>
  <c r="L433" i="2" s="1"/>
  <c r="Q434" i="2"/>
  <c r="S434" i="2"/>
  <c r="U434" i="2"/>
  <c r="AK434" i="2"/>
  <c r="AA434" i="2"/>
  <c r="AE434" i="2"/>
  <c r="AG434" i="2"/>
  <c r="L356" i="2"/>
  <c r="AL312" i="2"/>
  <c r="L321" i="2"/>
  <c r="AL349" i="2"/>
  <c r="AL311" i="2"/>
  <c r="AL434" i="2" l="1"/>
  <c r="L201" i="2" l="1"/>
  <c r="L197" i="2"/>
  <c r="L191" i="2"/>
  <c r="L177" i="2" l="1"/>
  <c r="L176" i="2" s="1"/>
  <c r="L147" i="2"/>
  <c r="L144" i="2"/>
  <c r="L143" i="2"/>
  <c r="L13" i="2"/>
  <c r="L141" i="2"/>
  <c r="L105" i="2"/>
  <c r="L104" i="2"/>
  <c r="L103" i="2"/>
  <c r="L62" i="2"/>
  <c r="L60" i="2"/>
  <c r="L61" i="2"/>
  <c r="L102" i="2" l="1"/>
  <c r="L598" i="2"/>
  <c r="L597" i="2"/>
  <c r="L483" i="2"/>
  <c r="L482" i="2" s="1"/>
  <c r="AK611" i="2" l="1"/>
  <c r="AI611" i="2"/>
  <c r="AG611" i="2"/>
  <c r="AE611" i="2"/>
  <c r="AC611" i="2"/>
  <c r="AA611" i="2"/>
  <c r="Y611" i="2"/>
  <c r="W611" i="2"/>
  <c r="U611" i="2"/>
  <c r="S611" i="2"/>
  <c r="Q611" i="2"/>
  <c r="O611" i="2"/>
  <c r="L611" i="2"/>
  <c r="AK610" i="2"/>
  <c r="AI610" i="2"/>
  <c r="AG610" i="2"/>
  <c r="AE610" i="2"/>
  <c r="AC610" i="2"/>
  <c r="AA610" i="2"/>
  <c r="Y610" i="2"/>
  <c r="W610" i="2"/>
  <c r="U610" i="2"/>
  <c r="S610" i="2"/>
  <c r="Q610" i="2"/>
  <c r="O610" i="2"/>
  <c r="L610" i="2"/>
  <c r="M605" i="2"/>
  <c r="Q603" i="2"/>
  <c r="AL603" i="2" s="1"/>
  <c r="M601" i="2"/>
  <c r="W600" i="2"/>
  <c r="M596" i="2"/>
  <c r="AK595" i="2"/>
  <c r="AI595" i="2"/>
  <c r="AG595" i="2"/>
  <c r="S595" i="2"/>
  <c r="O595" i="2"/>
  <c r="L595" i="2"/>
  <c r="AK593" i="2"/>
  <c r="AI593" i="2"/>
  <c r="AG593" i="2"/>
  <c r="AE593" i="2"/>
  <c r="AC593" i="2"/>
  <c r="AA593" i="2"/>
  <c r="Y593" i="2"/>
  <c r="W593" i="2"/>
  <c r="U593" i="2"/>
  <c r="S593" i="2"/>
  <c r="Q593" i="2"/>
  <c r="O593" i="2"/>
  <c r="L593" i="2"/>
  <c r="AK592" i="2"/>
  <c r="AI592" i="2"/>
  <c r="AG592" i="2"/>
  <c r="AE592" i="2"/>
  <c r="AC592" i="2"/>
  <c r="AA592" i="2"/>
  <c r="W592" i="2"/>
  <c r="U592" i="2"/>
  <c r="S592" i="2"/>
  <c r="Q592" i="2"/>
  <c r="O592" i="2"/>
  <c r="L592" i="2"/>
  <c r="M591" i="2"/>
  <c r="AK590" i="2"/>
  <c r="AI590" i="2"/>
  <c r="AG590" i="2"/>
  <c r="AC590" i="2"/>
  <c r="Y590" i="2"/>
  <c r="L590" i="2"/>
  <c r="AK589" i="2"/>
  <c r="AI589" i="2"/>
  <c r="AG589" i="2"/>
  <c r="AC589" i="2"/>
  <c r="Y589" i="2"/>
  <c r="S589" i="2"/>
  <c r="L589" i="2"/>
  <c r="AK588" i="2"/>
  <c r="AI588" i="2"/>
  <c r="AG588" i="2"/>
  <c r="AC588" i="2"/>
  <c r="AA588" i="2"/>
  <c r="Y588" i="2"/>
  <c r="U588" i="2"/>
  <c r="S588" i="2"/>
  <c r="L588" i="2"/>
  <c r="AK587" i="2"/>
  <c r="AI587" i="2"/>
  <c r="AG587" i="2"/>
  <c r="AC587" i="2"/>
  <c r="AA587" i="2"/>
  <c r="Y587" i="2"/>
  <c r="S587" i="2"/>
  <c r="P587" i="2"/>
  <c r="L587" i="2"/>
  <c r="AK586" i="2"/>
  <c r="AI586" i="2"/>
  <c r="AG586" i="2"/>
  <c r="AC586" i="2"/>
  <c r="AA586" i="2"/>
  <c r="Y586" i="2"/>
  <c r="U586" i="2"/>
  <c r="S586" i="2"/>
  <c r="P586" i="2"/>
  <c r="L586" i="2"/>
  <c r="AK585" i="2"/>
  <c r="AI585" i="2"/>
  <c r="AG585" i="2"/>
  <c r="AC585" i="2"/>
  <c r="AA585" i="2"/>
  <c r="Y585" i="2"/>
  <c r="U585" i="2"/>
  <c r="S585" i="2"/>
  <c r="P585" i="2"/>
  <c r="L585" i="2"/>
  <c r="AK584" i="2"/>
  <c r="AI584" i="2"/>
  <c r="AG584" i="2"/>
  <c r="AC584" i="2"/>
  <c r="AA584" i="2"/>
  <c r="Y584" i="2"/>
  <c r="W584" i="2"/>
  <c r="U584" i="2"/>
  <c r="S584" i="2"/>
  <c r="P584" i="2"/>
  <c r="L584" i="2"/>
  <c r="AK583" i="2"/>
  <c r="AI583" i="2"/>
  <c r="AG583" i="2"/>
  <c r="AE583" i="2"/>
  <c r="AC583" i="2"/>
  <c r="AA583" i="2"/>
  <c r="Y583" i="2"/>
  <c r="W583" i="2"/>
  <c r="U583" i="2"/>
  <c r="S583" i="2"/>
  <c r="Q583" i="2"/>
  <c r="L583" i="2"/>
  <c r="AK582" i="2"/>
  <c r="AI582" i="2"/>
  <c r="AG582" i="2"/>
  <c r="AE582" i="2"/>
  <c r="AC582" i="2"/>
  <c r="AA582" i="2"/>
  <c r="Y582" i="2"/>
  <c r="W582" i="2"/>
  <c r="U582" i="2"/>
  <c r="S582" i="2"/>
  <c r="Q582" i="2"/>
  <c r="O582" i="2"/>
  <c r="L582" i="2"/>
  <c r="AK575" i="2"/>
  <c r="AI575" i="2"/>
  <c r="AG575" i="2"/>
  <c r="AE575" i="2"/>
  <c r="AC575" i="2"/>
  <c r="AA575" i="2"/>
  <c r="Y575" i="2"/>
  <c r="W575" i="2"/>
  <c r="U575" i="2"/>
  <c r="S575" i="2"/>
  <c r="Q575" i="2"/>
  <c r="O575" i="2"/>
  <c r="L575" i="2"/>
  <c r="L574" i="2" s="1"/>
  <c r="M574" i="2"/>
  <c r="M571" i="2"/>
  <c r="AK569" i="2"/>
  <c r="AI569" i="2"/>
  <c r="AG569" i="2"/>
  <c r="AE569" i="2"/>
  <c r="AC569" i="2"/>
  <c r="AA569" i="2"/>
  <c r="Y569" i="2"/>
  <c r="W569" i="2"/>
  <c r="U569" i="2"/>
  <c r="S569" i="2"/>
  <c r="Q569" i="2"/>
  <c r="O569" i="2"/>
  <c r="L569" i="2"/>
  <c r="W568" i="2"/>
  <c r="AL568" i="2" s="1"/>
  <c r="L568" i="2"/>
  <c r="AK567" i="2"/>
  <c r="AI567" i="2"/>
  <c r="AG567" i="2"/>
  <c r="AE567" i="2"/>
  <c r="AC567" i="2"/>
  <c r="AA567" i="2"/>
  <c r="Y567" i="2"/>
  <c r="W567" i="2"/>
  <c r="U567" i="2"/>
  <c r="S567" i="2"/>
  <c r="Q567" i="2"/>
  <c r="O567" i="2"/>
  <c r="L567" i="2"/>
  <c r="M566" i="2"/>
  <c r="AK563" i="2"/>
  <c r="AI563" i="2"/>
  <c r="AG563" i="2"/>
  <c r="AE563" i="2"/>
  <c r="AC563" i="2"/>
  <c r="AA563" i="2"/>
  <c r="Y563" i="2"/>
  <c r="W563" i="2"/>
  <c r="U563" i="2"/>
  <c r="S563" i="2"/>
  <c r="Q563" i="2"/>
  <c r="O563" i="2"/>
  <c r="L563" i="2"/>
  <c r="L562" i="2" s="1"/>
  <c r="M562" i="2"/>
  <c r="AK561" i="2"/>
  <c r="AI561" i="2"/>
  <c r="AG561" i="2"/>
  <c r="AE561" i="2"/>
  <c r="AC561" i="2"/>
  <c r="AA561" i="2"/>
  <c r="Y561" i="2"/>
  <c r="W561" i="2"/>
  <c r="U561" i="2"/>
  <c r="S561" i="2"/>
  <c r="Q561" i="2"/>
  <c r="O561" i="2"/>
  <c r="L561" i="2"/>
  <c r="L560" i="2" s="1"/>
  <c r="M560" i="2"/>
  <c r="AJ556" i="2"/>
  <c r="AH556" i="2"/>
  <c r="AF556" i="2"/>
  <c r="AD556" i="2"/>
  <c r="AB556" i="2"/>
  <c r="Z556" i="2"/>
  <c r="X556" i="2"/>
  <c r="V556" i="2"/>
  <c r="T556" i="2"/>
  <c r="R556" i="2"/>
  <c r="P556" i="2"/>
  <c r="N556" i="2"/>
  <c r="M555" i="2"/>
  <c r="AJ554" i="2"/>
  <c r="AK554" i="2" s="1"/>
  <c r="AH554" i="2"/>
  <c r="AI554" i="2" s="1"/>
  <c r="AF554" i="2"/>
  <c r="AG554" i="2" s="1"/>
  <c r="AD554" i="2"/>
  <c r="AE554" i="2" s="1"/>
  <c r="AB554" i="2"/>
  <c r="AC554" i="2" s="1"/>
  <c r="Z554" i="2"/>
  <c r="AA554" i="2" s="1"/>
  <c r="X554" i="2"/>
  <c r="Y554" i="2" s="1"/>
  <c r="V554" i="2"/>
  <c r="W554" i="2" s="1"/>
  <c r="T554" i="2"/>
  <c r="U554" i="2" s="1"/>
  <c r="R554" i="2"/>
  <c r="S554" i="2" s="1"/>
  <c r="P554" i="2"/>
  <c r="Q554" i="2" s="1"/>
  <c r="N554" i="2"/>
  <c r="O554" i="2" s="1"/>
  <c r="L554" i="2"/>
  <c r="L553" i="2" s="1"/>
  <c r="M553" i="2"/>
  <c r="AK552" i="2"/>
  <c r="AI552" i="2"/>
  <c r="AG552" i="2"/>
  <c r="AE552" i="2"/>
  <c r="AC552" i="2"/>
  <c r="AA552" i="2"/>
  <c r="Y552" i="2"/>
  <c r="W552" i="2"/>
  <c r="U552" i="2"/>
  <c r="S552" i="2"/>
  <c r="Q552" i="2"/>
  <c r="O552" i="2"/>
  <c r="L552" i="2"/>
  <c r="L551" i="2" s="1"/>
  <c r="M551" i="2"/>
  <c r="AG549" i="2"/>
  <c r="S549" i="2"/>
  <c r="L549" i="2"/>
  <c r="L548" i="2" s="1"/>
  <c r="AB544" i="2"/>
  <c r="U544" i="2"/>
  <c r="AL544" i="2" s="1"/>
  <c r="L544" i="2"/>
  <c r="L543" i="2" s="1"/>
  <c r="AK542" i="2"/>
  <c r="AI542" i="2"/>
  <c r="AG542" i="2"/>
  <c r="AE542" i="2"/>
  <c r="AC542" i="2"/>
  <c r="Z542" i="2"/>
  <c r="Y542" i="2"/>
  <c r="W542" i="2"/>
  <c r="U542" i="2"/>
  <c r="S542" i="2"/>
  <c r="Q542" i="2"/>
  <c r="O542" i="2"/>
  <c r="L542" i="2"/>
  <c r="AK541" i="2"/>
  <c r="AI541" i="2"/>
  <c r="AG541" i="2"/>
  <c r="AC541" i="2"/>
  <c r="AA541" i="2"/>
  <c r="Y541" i="2"/>
  <c r="W541" i="2"/>
  <c r="U541" i="2"/>
  <c r="S541" i="2"/>
  <c r="Q541" i="2"/>
  <c r="O541" i="2"/>
  <c r="L541" i="2"/>
  <c r="AK540" i="2"/>
  <c r="AI540" i="2"/>
  <c r="AG540" i="2"/>
  <c r="AE540" i="2"/>
  <c r="AC540" i="2"/>
  <c r="AA540" i="2"/>
  <c r="Y540" i="2"/>
  <c r="W540" i="2"/>
  <c r="U540" i="2"/>
  <c r="S540" i="2"/>
  <c r="Q540" i="2"/>
  <c r="O540" i="2"/>
  <c r="L540" i="2"/>
  <c r="AK539" i="2"/>
  <c r="AI539" i="2"/>
  <c r="AG539" i="2"/>
  <c r="AE539" i="2"/>
  <c r="AC539" i="2"/>
  <c r="AA539" i="2"/>
  <c r="Y539" i="2"/>
  <c r="W539" i="2"/>
  <c r="U539" i="2"/>
  <c r="S539" i="2"/>
  <c r="Q539" i="2"/>
  <c r="O539" i="2"/>
  <c r="L539" i="2"/>
  <c r="AK538" i="2"/>
  <c r="AI538" i="2"/>
  <c r="AG538" i="2"/>
  <c r="AE538" i="2"/>
  <c r="AC538" i="2"/>
  <c r="AA538" i="2"/>
  <c r="Y538" i="2"/>
  <c r="W538" i="2"/>
  <c r="U538" i="2"/>
  <c r="S538" i="2"/>
  <c r="Q538" i="2"/>
  <c r="O538" i="2"/>
  <c r="L538" i="2"/>
  <c r="AK537" i="2"/>
  <c r="AI537" i="2"/>
  <c r="AG537" i="2"/>
  <c r="AE537" i="2"/>
  <c r="AC537" i="2"/>
  <c r="AA537" i="2"/>
  <c r="Y537" i="2"/>
  <c r="W537" i="2"/>
  <c r="T537" i="2"/>
  <c r="S537" i="2"/>
  <c r="Q537" i="2"/>
  <c r="O537" i="2"/>
  <c r="L537" i="2"/>
  <c r="AK536" i="2"/>
  <c r="AI536" i="2"/>
  <c r="AG536" i="2"/>
  <c r="AE536" i="2"/>
  <c r="AC536" i="2"/>
  <c r="AA536" i="2"/>
  <c r="Y536" i="2"/>
  <c r="W536" i="2"/>
  <c r="U536" i="2"/>
  <c r="S536" i="2"/>
  <c r="Q536" i="2"/>
  <c r="O536" i="2"/>
  <c r="L536" i="2"/>
  <c r="AK535" i="2"/>
  <c r="AI535" i="2"/>
  <c r="AG535" i="2"/>
  <c r="AE535" i="2"/>
  <c r="AC535" i="2"/>
  <c r="AA535" i="2"/>
  <c r="Y535" i="2"/>
  <c r="W535" i="2"/>
  <c r="U535" i="2"/>
  <c r="S535" i="2"/>
  <c r="Q535" i="2"/>
  <c r="O535" i="2"/>
  <c r="L535" i="2"/>
  <c r="K534" i="2"/>
  <c r="AE534" i="2" s="1"/>
  <c r="AK533" i="2"/>
  <c r="AI533" i="2"/>
  <c r="AG533" i="2"/>
  <c r="AE533" i="2"/>
  <c r="AC533" i="2"/>
  <c r="AA533" i="2"/>
  <c r="Y533" i="2"/>
  <c r="W533" i="2"/>
  <c r="U533" i="2"/>
  <c r="S533" i="2"/>
  <c r="Q533" i="2"/>
  <c r="O533" i="2"/>
  <c r="L533" i="2"/>
  <c r="AK531" i="2"/>
  <c r="AI531" i="2"/>
  <c r="AG531" i="2"/>
  <c r="AE531" i="2"/>
  <c r="AC531" i="2"/>
  <c r="AA531" i="2"/>
  <c r="Y531" i="2"/>
  <c r="W531" i="2"/>
  <c r="U531" i="2"/>
  <c r="S531" i="2"/>
  <c r="Q531" i="2"/>
  <c r="O531" i="2"/>
  <c r="L531" i="2"/>
  <c r="AK530" i="2"/>
  <c r="AI530" i="2"/>
  <c r="AG530" i="2"/>
  <c r="AE530" i="2"/>
  <c r="AC530" i="2"/>
  <c r="AA530" i="2"/>
  <c r="Y530" i="2"/>
  <c r="W530" i="2"/>
  <c r="U530" i="2"/>
  <c r="S530" i="2"/>
  <c r="Q530" i="2"/>
  <c r="O530" i="2"/>
  <c r="L530" i="2"/>
  <c r="AK528" i="2"/>
  <c r="AI528" i="2"/>
  <c r="AG528" i="2"/>
  <c r="AE528" i="2"/>
  <c r="AC528" i="2"/>
  <c r="Y528" i="2"/>
  <c r="W528" i="2"/>
  <c r="U528" i="2"/>
  <c r="S528" i="2"/>
  <c r="Q528" i="2"/>
  <c r="O528" i="2"/>
  <c r="L528" i="2"/>
  <c r="L527" i="2" s="1"/>
  <c r="AK525" i="2"/>
  <c r="AI525" i="2"/>
  <c r="AG525" i="2"/>
  <c r="AE525" i="2"/>
  <c r="AC525" i="2"/>
  <c r="AA525" i="2"/>
  <c r="Y525" i="2"/>
  <c r="W525" i="2"/>
  <c r="U525" i="2"/>
  <c r="S525" i="2"/>
  <c r="Q525" i="2"/>
  <c r="O525" i="2"/>
  <c r="L525" i="2"/>
  <c r="AK524" i="2"/>
  <c r="AI524" i="2"/>
  <c r="AG524" i="2"/>
  <c r="AE524" i="2"/>
  <c r="AC524" i="2"/>
  <c r="AA524" i="2"/>
  <c r="Y524" i="2"/>
  <c r="W524" i="2"/>
  <c r="U524" i="2"/>
  <c r="S524" i="2"/>
  <c r="Q524" i="2"/>
  <c r="O524" i="2"/>
  <c r="L524" i="2"/>
  <c r="AK523" i="2"/>
  <c r="AI523" i="2"/>
  <c r="AG523" i="2"/>
  <c r="AE523" i="2"/>
  <c r="AC523" i="2"/>
  <c r="AA523" i="2"/>
  <c r="Y523" i="2"/>
  <c r="W523" i="2"/>
  <c r="U523" i="2"/>
  <c r="S523" i="2"/>
  <c r="Q523" i="2"/>
  <c r="O523" i="2"/>
  <c r="L523" i="2"/>
  <c r="AJ522" i="2"/>
  <c r="AK522" i="2" s="1"/>
  <c r="AH522" i="2"/>
  <c r="AI522" i="2" s="1"/>
  <c r="AF522" i="2"/>
  <c r="AG522" i="2" s="1"/>
  <c r="AD522" i="2"/>
  <c r="AE522" i="2" s="1"/>
  <c r="AC522" i="2"/>
  <c r="AA522" i="2"/>
  <c r="Y522" i="2"/>
  <c r="W522" i="2"/>
  <c r="U522" i="2"/>
  <c r="S522" i="2"/>
  <c r="Q522" i="2"/>
  <c r="O522" i="2"/>
  <c r="L522" i="2"/>
  <c r="AJ521" i="2"/>
  <c r="AK521" i="2" s="1"/>
  <c r="AH521" i="2"/>
  <c r="AI521" i="2" s="1"/>
  <c r="AF521" i="2"/>
  <c r="AG521" i="2" s="1"/>
  <c r="AD521" i="2"/>
  <c r="AE521" i="2" s="1"/>
  <c r="AB521" i="2"/>
  <c r="AC521" i="2" s="1"/>
  <c r="Z521" i="2"/>
  <c r="AA521" i="2" s="1"/>
  <c r="X521" i="2"/>
  <c r="Y521" i="2" s="1"/>
  <c r="V521" i="2"/>
  <c r="W521" i="2" s="1"/>
  <c r="T521" i="2"/>
  <c r="U521" i="2" s="1"/>
  <c r="S521" i="2"/>
  <c r="Q521" i="2"/>
  <c r="O521" i="2"/>
  <c r="L521" i="2"/>
  <c r="M519" i="2"/>
  <c r="AC518" i="2"/>
  <c r="AL517" i="2"/>
  <c r="AK516" i="2"/>
  <c r="AI516" i="2"/>
  <c r="AG516" i="2"/>
  <c r="AE516" i="2"/>
  <c r="AC516" i="2"/>
  <c r="AA516" i="2"/>
  <c r="Y516" i="2"/>
  <c r="W516" i="2"/>
  <c r="U516" i="2"/>
  <c r="S516" i="2"/>
  <c r="Q516" i="2"/>
  <c r="O516" i="2"/>
  <c r="L516" i="2"/>
  <c r="L515" i="2" s="1"/>
  <c r="AL515" i="2"/>
  <c r="M515" i="2"/>
  <c r="M514" i="2" s="1"/>
  <c r="AL514" i="2"/>
  <c r="AJ511" i="2"/>
  <c r="AK511" i="2" s="1"/>
  <c r="AH511" i="2"/>
  <c r="AI511" i="2" s="1"/>
  <c r="AF511" i="2"/>
  <c r="AG511" i="2" s="1"/>
  <c r="AD511" i="2"/>
  <c r="AE511" i="2" s="1"/>
  <c r="AB511" i="2"/>
  <c r="AC511" i="2" s="1"/>
  <c r="Z511" i="2"/>
  <c r="AA511" i="2" s="1"/>
  <c r="X511" i="2"/>
  <c r="Y511" i="2" s="1"/>
  <c r="V511" i="2"/>
  <c r="W511" i="2" s="1"/>
  <c r="T511" i="2"/>
  <c r="U511" i="2" s="1"/>
  <c r="R511" i="2"/>
  <c r="S511" i="2" s="1"/>
  <c r="P511" i="2"/>
  <c r="Q511" i="2" s="1"/>
  <c r="N511" i="2"/>
  <c r="O511" i="2" s="1"/>
  <c r="L511" i="2"/>
  <c r="AJ510" i="2"/>
  <c r="AK510" i="2" s="1"/>
  <c r="AH510" i="2"/>
  <c r="AI510" i="2" s="1"/>
  <c r="AF510" i="2"/>
  <c r="AG510" i="2" s="1"/>
  <c r="AD510" i="2"/>
  <c r="AE510" i="2" s="1"/>
  <c r="AB510" i="2"/>
  <c r="AC510" i="2" s="1"/>
  <c r="Z510" i="2"/>
  <c r="AA510" i="2" s="1"/>
  <c r="X510" i="2"/>
  <c r="Y510" i="2" s="1"/>
  <c r="V510" i="2"/>
  <c r="W510" i="2" s="1"/>
  <c r="T510" i="2"/>
  <c r="U510" i="2" s="1"/>
  <c r="R510" i="2"/>
  <c r="S510" i="2" s="1"/>
  <c r="P510" i="2"/>
  <c r="Q510" i="2" s="1"/>
  <c r="N510" i="2"/>
  <c r="O510" i="2" s="1"/>
  <c r="L510" i="2"/>
  <c r="AJ509" i="2"/>
  <c r="AK509" i="2" s="1"/>
  <c r="AH509" i="2"/>
  <c r="AI509" i="2" s="1"/>
  <c r="AF509" i="2"/>
  <c r="AG509" i="2" s="1"/>
  <c r="AD509" i="2"/>
  <c r="AE509" i="2" s="1"/>
  <c r="AB509" i="2"/>
  <c r="AC509" i="2" s="1"/>
  <c r="Z509" i="2"/>
  <c r="AA509" i="2" s="1"/>
  <c r="X509" i="2"/>
  <c r="Y509" i="2" s="1"/>
  <c r="V509" i="2"/>
  <c r="W509" i="2" s="1"/>
  <c r="T509" i="2"/>
  <c r="U509" i="2" s="1"/>
  <c r="R509" i="2"/>
  <c r="S509" i="2" s="1"/>
  <c r="P509" i="2"/>
  <c r="Q509" i="2" s="1"/>
  <c r="N509" i="2"/>
  <c r="O509" i="2" s="1"/>
  <c r="L509" i="2"/>
  <c r="AJ508" i="2"/>
  <c r="AH508" i="2"/>
  <c r="AF508" i="2"/>
  <c r="AD508" i="2"/>
  <c r="AB508" i="2"/>
  <c r="Z508" i="2"/>
  <c r="X508" i="2"/>
  <c r="V508" i="2"/>
  <c r="T508" i="2"/>
  <c r="R508" i="2"/>
  <c r="P508" i="2"/>
  <c r="N508" i="2"/>
  <c r="K508" i="2"/>
  <c r="AJ507" i="2"/>
  <c r="AK507" i="2" s="1"/>
  <c r="AH507" i="2"/>
  <c r="AI507" i="2" s="1"/>
  <c r="AF507" i="2"/>
  <c r="AG507" i="2" s="1"/>
  <c r="AD507" i="2"/>
  <c r="AE507" i="2" s="1"/>
  <c r="AB507" i="2"/>
  <c r="AC507" i="2" s="1"/>
  <c r="Z507" i="2"/>
  <c r="AA507" i="2" s="1"/>
  <c r="X507" i="2"/>
  <c r="Y507" i="2" s="1"/>
  <c r="V507" i="2"/>
  <c r="W507" i="2" s="1"/>
  <c r="T507" i="2"/>
  <c r="U507" i="2" s="1"/>
  <c r="R507" i="2"/>
  <c r="S507" i="2" s="1"/>
  <c r="P507" i="2"/>
  <c r="Q507" i="2" s="1"/>
  <c r="N507" i="2"/>
  <c r="O507" i="2" s="1"/>
  <c r="L507" i="2"/>
  <c r="AJ506" i="2"/>
  <c r="AK506" i="2" s="1"/>
  <c r="AH506" i="2"/>
  <c r="AI506" i="2" s="1"/>
  <c r="AF506" i="2"/>
  <c r="AG506" i="2" s="1"/>
  <c r="AD506" i="2"/>
  <c r="AE506" i="2" s="1"/>
  <c r="AB506" i="2"/>
  <c r="AC506" i="2" s="1"/>
  <c r="Z506" i="2"/>
  <c r="AA506" i="2" s="1"/>
  <c r="X506" i="2"/>
  <c r="Y506" i="2" s="1"/>
  <c r="V506" i="2"/>
  <c r="W506" i="2" s="1"/>
  <c r="T506" i="2"/>
  <c r="U506" i="2" s="1"/>
  <c r="R506" i="2"/>
  <c r="S506" i="2" s="1"/>
  <c r="P506" i="2"/>
  <c r="Q506" i="2" s="1"/>
  <c r="N506" i="2"/>
  <c r="O506" i="2" s="1"/>
  <c r="L506" i="2"/>
  <c r="AJ505" i="2"/>
  <c r="AK505" i="2" s="1"/>
  <c r="AH505" i="2"/>
  <c r="AI505" i="2" s="1"/>
  <c r="AF505" i="2"/>
  <c r="AG505" i="2" s="1"/>
  <c r="AD505" i="2"/>
  <c r="AE505" i="2" s="1"/>
  <c r="AB505" i="2"/>
  <c r="AC505" i="2" s="1"/>
  <c r="Z505" i="2"/>
  <c r="AA505" i="2" s="1"/>
  <c r="X505" i="2"/>
  <c r="Y505" i="2" s="1"/>
  <c r="V505" i="2"/>
  <c r="W505" i="2" s="1"/>
  <c r="T505" i="2"/>
  <c r="U505" i="2" s="1"/>
  <c r="R505" i="2"/>
  <c r="S505" i="2" s="1"/>
  <c r="P505" i="2"/>
  <c r="Q505" i="2" s="1"/>
  <c r="N505" i="2"/>
  <c r="O505" i="2" s="1"/>
  <c r="L505" i="2"/>
  <c r="AJ504" i="2"/>
  <c r="AK504" i="2" s="1"/>
  <c r="AH504" i="2"/>
  <c r="AI504" i="2" s="1"/>
  <c r="AF504" i="2"/>
  <c r="AG504" i="2" s="1"/>
  <c r="AD504" i="2"/>
  <c r="AE504" i="2" s="1"/>
  <c r="AB504" i="2"/>
  <c r="AC504" i="2" s="1"/>
  <c r="Z504" i="2"/>
  <c r="AA504" i="2" s="1"/>
  <c r="X504" i="2"/>
  <c r="Y504" i="2" s="1"/>
  <c r="V504" i="2"/>
  <c r="W504" i="2" s="1"/>
  <c r="T504" i="2"/>
  <c r="U504" i="2" s="1"/>
  <c r="R504" i="2"/>
  <c r="S504" i="2" s="1"/>
  <c r="P504" i="2"/>
  <c r="Q504" i="2" s="1"/>
  <c r="N504" i="2"/>
  <c r="O504" i="2" s="1"/>
  <c r="L504" i="2"/>
  <c r="AJ503" i="2"/>
  <c r="AK503" i="2" s="1"/>
  <c r="AH503" i="2"/>
  <c r="AI503" i="2" s="1"/>
  <c r="AF503" i="2"/>
  <c r="AG503" i="2" s="1"/>
  <c r="AD503" i="2"/>
  <c r="AE503" i="2" s="1"/>
  <c r="AB503" i="2"/>
  <c r="AC503" i="2" s="1"/>
  <c r="Z503" i="2"/>
  <c r="AA503" i="2" s="1"/>
  <c r="X503" i="2"/>
  <c r="Y503" i="2" s="1"/>
  <c r="V503" i="2"/>
  <c r="W503" i="2" s="1"/>
  <c r="T503" i="2"/>
  <c r="U503" i="2" s="1"/>
  <c r="R503" i="2"/>
  <c r="S503" i="2" s="1"/>
  <c r="P503" i="2"/>
  <c r="Q503" i="2" s="1"/>
  <c r="N503" i="2"/>
  <c r="O503" i="2" s="1"/>
  <c r="L503" i="2"/>
  <c r="AJ500" i="2"/>
  <c r="AK500" i="2" s="1"/>
  <c r="AH500" i="2"/>
  <c r="AI500" i="2" s="1"/>
  <c r="AF500" i="2"/>
  <c r="AG500" i="2" s="1"/>
  <c r="AD500" i="2"/>
  <c r="AE500" i="2" s="1"/>
  <c r="AB500" i="2"/>
  <c r="AC500" i="2" s="1"/>
  <c r="Z500" i="2"/>
  <c r="AA500" i="2" s="1"/>
  <c r="X500" i="2"/>
  <c r="Y500" i="2" s="1"/>
  <c r="V500" i="2"/>
  <c r="W500" i="2" s="1"/>
  <c r="T500" i="2"/>
  <c r="U500" i="2" s="1"/>
  <c r="R500" i="2"/>
  <c r="S500" i="2" s="1"/>
  <c r="P500" i="2"/>
  <c r="Q500" i="2" s="1"/>
  <c r="N500" i="2"/>
  <c r="O500" i="2" s="1"/>
  <c r="L500" i="2"/>
  <c r="M499" i="2"/>
  <c r="M495" i="2" s="1"/>
  <c r="AJ494" i="2"/>
  <c r="AK494" i="2" s="1"/>
  <c r="AH494" i="2"/>
  <c r="AI494" i="2" s="1"/>
  <c r="AF494" i="2"/>
  <c r="AG494" i="2" s="1"/>
  <c r="AD494" i="2"/>
  <c r="AE494" i="2" s="1"/>
  <c r="AB494" i="2"/>
  <c r="AC494" i="2" s="1"/>
  <c r="Z494" i="2"/>
  <c r="AA494" i="2" s="1"/>
  <c r="X494" i="2"/>
  <c r="Y494" i="2" s="1"/>
  <c r="V494" i="2"/>
  <c r="W494" i="2" s="1"/>
  <c r="T494" i="2"/>
  <c r="U494" i="2" s="1"/>
  <c r="R494" i="2"/>
  <c r="S494" i="2" s="1"/>
  <c r="P494" i="2"/>
  <c r="Q494" i="2" s="1"/>
  <c r="N494" i="2"/>
  <c r="O494" i="2" s="1"/>
  <c r="L494" i="2"/>
  <c r="L492" i="2" s="1"/>
  <c r="M492" i="2"/>
  <c r="AJ491" i="2"/>
  <c r="AK491" i="2" s="1"/>
  <c r="AH491" i="2"/>
  <c r="AI491" i="2" s="1"/>
  <c r="AF491" i="2"/>
  <c r="AG491" i="2" s="1"/>
  <c r="AD491" i="2"/>
  <c r="AE491" i="2" s="1"/>
  <c r="AB491" i="2"/>
  <c r="AC491" i="2" s="1"/>
  <c r="Z491" i="2"/>
  <c r="AA491" i="2" s="1"/>
  <c r="X491" i="2"/>
  <c r="Y491" i="2" s="1"/>
  <c r="V491" i="2"/>
  <c r="W491" i="2" s="1"/>
  <c r="T491" i="2"/>
  <c r="U491" i="2" s="1"/>
  <c r="R491" i="2"/>
  <c r="S491" i="2" s="1"/>
  <c r="P491" i="2"/>
  <c r="Q491" i="2" s="1"/>
  <c r="N491" i="2"/>
  <c r="O491" i="2" s="1"/>
  <c r="L491" i="2"/>
  <c r="L489" i="2" s="1"/>
  <c r="M489" i="2"/>
  <c r="O487" i="2"/>
  <c r="AL487" i="2" s="1"/>
  <c r="L487" i="2"/>
  <c r="L486" i="2" s="1"/>
  <c r="O485" i="2"/>
  <c r="AL485" i="2" s="1"/>
  <c r="L485" i="2"/>
  <c r="L484" i="2" s="1"/>
  <c r="AJ480" i="2"/>
  <c r="AK480" i="2" s="1"/>
  <c r="AH480" i="2"/>
  <c r="AI480" i="2" s="1"/>
  <c r="AF480" i="2"/>
  <c r="AG480" i="2" s="1"/>
  <c r="AD480" i="2"/>
  <c r="AE480" i="2" s="1"/>
  <c r="AB480" i="2"/>
  <c r="AC480" i="2" s="1"/>
  <c r="Z480" i="2"/>
  <c r="AA480" i="2" s="1"/>
  <c r="X480" i="2"/>
  <c r="Y480" i="2" s="1"/>
  <c r="V480" i="2"/>
  <c r="W480" i="2" s="1"/>
  <c r="T480" i="2"/>
  <c r="U480" i="2" s="1"/>
  <c r="R480" i="2"/>
  <c r="S480" i="2" s="1"/>
  <c r="P480" i="2"/>
  <c r="Q480" i="2" s="1"/>
  <c r="N480" i="2"/>
  <c r="O480" i="2" s="1"/>
  <c r="L480" i="2"/>
  <c r="L479" i="2" s="1"/>
  <c r="AJ478" i="2"/>
  <c r="AK478" i="2" s="1"/>
  <c r="AH478" i="2"/>
  <c r="AI478" i="2" s="1"/>
  <c r="AF478" i="2"/>
  <c r="AG478" i="2" s="1"/>
  <c r="AD478" i="2"/>
  <c r="AE478" i="2" s="1"/>
  <c r="AB478" i="2"/>
  <c r="AC478" i="2" s="1"/>
  <c r="Z478" i="2"/>
  <c r="AA478" i="2" s="1"/>
  <c r="X478" i="2"/>
  <c r="Y478" i="2" s="1"/>
  <c r="V478" i="2"/>
  <c r="W478" i="2" s="1"/>
  <c r="T478" i="2"/>
  <c r="U478" i="2" s="1"/>
  <c r="R478" i="2"/>
  <c r="S478" i="2" s="1"/>
  <c r="P478" i="2"/>
  <c r="Q478" i="2" s="1"/>
  <c r="N478" i="2"/>
  <c r="O478" i="2" s="1"/>
  <c r="L478" i="2"/>
  <c r="AJ477" i="2"/>
  <c r="AK477" i="2" s="1"/>
  <c r="AH477" i="2"/>
  <c r="AI477" i="2" s="1"/>
  <c r="AF477" i="2"/>
  <c r="AG477" i="2" s="1"/>
  <c r="AD477" i="2"/>
  <c r="AE477" i="2" s="1"/>
  <c r="AB477" i="2"/>
  <c r="AC477" i="2" s="1"/>
  <c r="Z477" i="2"/>
  <c r="AA477" i="2" s="1"/>
  <c r="X477" i="2"/>
  <c r="Y477" i="2" s="1"/>
  <c r="V477" i="2"/>
  <c r="W477" i="2" s="1"/>
  <c r="T477" i="2"/>
  <c r="U477" i="2" s="1"/>
  <c r="R477" i="2"/>
  <c r="S477" i="2" s="1"/>
  <c r="P477" i="2"/>
  <c r="Q477" i="2" s="1"/>
  <c r="N477" i="2"/>
  <c r="O477" i="2" s="1"/>
  <c r="L477" i="2"/>
  <c r="AJ476" i="2"/>
  <c r="AK476" i="2" s="1"/>
  <c r="AH476" i="2"/>
  <c r="AI476" i="2" s="1"/>
  <c r="AF476" i="2"/>
  <c r="AG476" i="2" s="1"/>
  <c r="AD476" i="2"/>
  <c r="AE476" i="2" s="1"/>
  <c r="AB476" i="2"/>
  <c r="AC476" i="2" s="1"/>
  <c r="Z476" i="2"/>
  <c r="AA476" i="2" s="1"/>
  <c r="X476" i="2"/>
  <c r="Y476" i="2" s="1"/>
  <c r="V476" i="2"/>
  <c r="W476" i="2" s="1"/>
  <c r="T476" i="2"/>
  <c r="U476" i="2" s="1"/>
  <c r="R476" i="2"/>
  <c r="S476" i="2" s="1"/>
  <c r="P476" i="2"/>
  <c r="Q476" i="2" s="1"/>
  <c r="N476" i="2"/>
  <c r="O476" i="2" s="1"/>
  <c r="L476" i="2"/>
  <c r="M474" i="2"/>
  <c r="AJ473" i="2"/>
  <c r="AK473" i="2" s="1"/>
  <c r="AH473" i="2"/>
  <c r="AI473" i="2" s="1"/>
  <c r="AF473" i="2"/>
  <c r="AG473" i="2" s="1"/>
  <c r="AD473" i="2"/>
  <c r="AE473" i="2" s="1"/>
  <c r="AB473" i="2"/>
  <c r="AC473" i="2" s="1"/>
  <c r="Z473" i="2"/>
  <c r="AA473" i="2" s="1"/>
  <c r="X473" i="2"/>
  <c r="Y473" i="2" s="1"/>
  <c r="V473" i="2"/>
  <c r="W473" i="2" s="1"/>
  <c r="T473" i="2"/>
  <c r="U473" i="2" s="1"/>
  <c r="R473" i="2"/>
  <c r="S473" i="2" s="1"/>
  <c r="P473" i="2"/>
  <c r="Q473" i="2" s="1"/>
  <c r="N473" i="2"/>
  <c r="O473" i="2" s="1"/>
  <c r="L473" i="2"/>
  <c r="L472" i="2" s="1"/>
  <c r="M472" i="2"/>
  <c r="AJ470" i="2"/>
  <c r="AK470" i="2" s="1"/>
  <c r="AH470" i="2"/>
  <c r="AI470" i="2" s="1"/>
  <c r="AF470" i="2"/>
  <c r="AG470" i="2" s="1"/>
  <c r="AD470" i="2"/>
  <c r="AE470" i="2" s="1"/>
  <c r="AB470" i="2"/>
  <c r="AC470" i="2" s="1"/>
  <c r="Z470" i="2"/>
  <c r="AA470" i="2" s="1"/>
  <c r="X470" i="2"/>
  <c r="Y470" i="2" s="1"/>
  <c r="V470" i="2"/>
  <c r="W470" i="2" s="1"/>
  <c r="T470" i="2"/>
  <c r="U470" i="2" s="1"/>
  <c r="R470" i="2"/>
  <c r="S470" i="2" s="1"/>
  <c r="P470" i="2"/>
  <c r="Q470" i="2" s="1"/>
  <c r="N470" i="2"/>
  <c r="O470" i="2" s="1"/>
  <c r="L470" i="2"/>
  <c r="L469" i="2" s="1"/>
  <c r="M469" i="2"/>
  <c r="AJ468" i="2"/>
  <c r="AH468" i="2"/>
  <c r="AF468" i="2"/>
  <c r="AD468" i="2"/>
  <c r="AB468" i="2"/>
  <c r="Z468" i="2"/>
  <c r="X468" i="2"/>
  <c r="V468" i="2"/>
  <c r="T468" i="2"/>
  <c r="R468" i="2"/>
  <c r="P468" i="2"/>
  <c r="N468" i="2"/>
  <c r="L468" i="2"/>
  <c r="L467" i="2" s="1"/>
  <c r="M467" i="2"/>
  <c r="AJ462" i="2"/>
  <c r="AK462" i="2" s="1"/>
  <c r="AH462" i="2"/>
  <c r="AI462" i="2" s="1"/>
  <c r="AF462" i="2"/>
  <c r="AG462" i="2" s="1"/>
  <c r="AD462" i="2"/>
  <c r="AE462" i="2" s="1"/>
  <c r="AB462" i="2"/>
  <c r="AC462" i="2" s="1"/>
  <c r="Z462" i="2"/>
  <c r="AA462" i="2" s="1"/>
  <c r="X462" i="2"/>
  <c r="Y462" i="2" s="1"/>
  <c r="V462" i="2"/>
  <c r="W462" i="2" s="1"/>
  <c r="T462" i="2"/>
  <c r="U462" i="2" s="1"/>
  <c r="R462" i="2"/>
  <c r="S462" i="2" s="1"/>
  <c r="P462" i="2"/>
  <c r="Q462" i="2" s="1"/>
  <c r="N462" i="2"/>
  <c r="O462" i="2" s="1"/>
  <c r="L461" i="2"/>
  <c r="M461" i="2"/>
  <c r="AJ460" i="2"/>
  <c r="AH460" i="2"/>
  <c r="AF460" i="2"/>
  <c r="AD460" i="2"/>
  <c r="AB460" i="2"/>
  <c r="Z460" i="2"/>
  <c r="X460" i="2"/>
  <c r="V460" i="2"/>
  <c r="T460" i="2"/>
  <c r="R460" i="2"/>
  <c r="P460" i="2"/>
  <c r="N460" i="2"/>
  <c r="M459" i="2"/>
  <c r="AJ458" i="2"/>
  <c r="AH458" i="2"/>
  <c r="AF458" i="2"/>
  <c r="AD458" i="2"/>
  <c r="AB458" i="2"/>
  <c r="Z458" i="2"/>
  <c r="X458" i="2"/>
  <c r="V458" i="2"/>
  <c r="T458" i="2"/>
  <c r="R458" i="2"/>
  <c r="P458" i="2"/>
  <c r="N458" i="2"/>
  <c r="AK454" i="2"/>
  <c r="AK450" i="2"/>
  <c r="AI450" i="2"/>
  <c r="AG450" i="2"/>
  <c r="AE450" i="2"/>
  <c r="AC450" i="2"/>
  <c r="AA450" i="2"/>
  <c r="Y450" i="2"/>
  <c r="W450" i="2"/>
  <c r="S450" i="2"/>
  <c r="Q450" i="2"/>
  <c r="O450" i="2"/>
  <c r="L450" i="2"/>
  <c r="AK449" i="2"/>
  <c r="AI449" i="2"/>
  <c r="AG449" i="2"/>
  <c r="AE449" i="2"/>
  <c r="AC449" i="2"/>
  <c r="AA449" i="2"/>
  <c r="Y449" i="2"/>
  <c r="W449" i="2"/>
  <c r="U449" i="2"/>
  <c r="S449" i="2"/>
  <c r="L449" i="2"/>
  <c r="L448" i="2" s="1"/>
  <c r="AL448" i="2"/>
  <c r="AK447" i="2"/>
  <c r="AI447" i="2"/>
  <c r="AG447" i="2"/>
  <c r="AE447" i="2"/>
  <c r="AC447" i="2"/>
  <c r="AA447" i="2"/>
  <c r="Y447" i="2"/>
  <c r="W447" i="2"/>
  <c r="U447" i="2"/>
  <c r="S447" i="2"/>
  <c r="L447" i="2"/>
  <c r="L446" i="2" s="1"/>
  <c r="M445" i="2"/>
  <c r="K442" i="2"/>
  <c r="AK442" i="2" s="1"/>
  <c r="AK440" i="2"/>
  <c r="AI440" i="2"/>
  <c r="AG440" i="2"/>
  <c r="AE440" i="2"/>
  <c r="AC440" i="2"/>
  <c r="AA440" i="2"/>
  <c r="Y440" i="2"/>
  <c r="W440" i="2"/>
  <c r="U440" i="2"/>
  <c r="S440" i="2"/>
  <c r="Q440" i="2"/>
  <c r="O440" i="2"/>
  <c r="L440" i="2"/>
  <c r="L439" i="2" s="1"/>
  <c r="AK438" i="2"/>
  <c r="AI438" i="2"/>
  <c r="AG438" i="2"/>
  <c r="AE438" i="2"/>
  <c r="AC438" i="2"/>
  <c r="AA438" i="2"/>
  <c r="Y438" i="2"/>
  <c r="W438" i="2"/>
  <c r="U438" i="2"/>
  <c r="S438" i="2"/>
  <c r="O438" i="2"/>
  <c r="L438" i="2"/>
  <c r="L437" i="2" s="1"/>
  <c r="K432" i="2"/>
  <c r="AC432" i="2" s="1"/>
  <c r="AC430" i="2"/>
  <c r="AC428" i="2"/>
  <c r="U428" i="2"/>
  <c r="L428" i="2"/>
  <c r="AC427" i="2"/>
  <c r="U427" i="2"/>
  <c r="L427" i="2"/>
  <c r="AG426" i="2"/>
  <c r="AC426" i="2"/>
  <c r="U426" i="2"/>
  <c r="L426" i="2"/>
  <c r="AC425" i="2"/>
  <c r="U425" i="2"/>
  <c r="L425" i="2"/>
  <c r="AI424" i="2"/>
  <c r="AE424" i="2"/>
  <c r="Y424" i="2"/>
  <c r="S424" i="2"/>
  <c r="L424" i="2"/>
  <c r="AK423" i="2"/>
  <c r="AI423" i="2"/>
  <c r="AG423" i="2"/>
  <c r="AE423" i="2"/>
  <c r="AC423" i="2"/>
  <c r="AA423" i="2"/>
  <c r="Y423" i="2"/>
  <c r="W423" i="2"/>
  <c r="U423" i="2"/>
  <c r="S423" i="2"/>
  <c r="Q423" i="2"/>
  <c r="O423" i="2"/>
  <c r="L423" i="2"/>
  <c r="AK422" i="2"/>
  <c r="AI422" i="2"/>
  <c r="AG422" i="2"/>
  <c r="AE422" i="2"/>
  <c r="AC422" i="2"/>
  <c r="AA422" i="2"/>
  <c r="Y422" i="2"/>
  <c r="W422" i="2"/>
  <c r="U422" i="2"/>
  <c r="S422" i="2"/>
  <c r="Q422" i="2"/>
  <c r="O422" i="2"/>
  <c r="L422" i="2"/>
  <c r="AK421" i="2"/>
  <c r="AI421" i="2"/>
  <c r="AG421" i="2"/>
  <c r="AC421" i="2"/>
  <c r="AA421" i="2"/>
  <c r="Y421" i="2"/>
  <c r="W421" i="2"/>
  <c r="U421" i="2"/>
  <c r="S421" i="2"/>
  <c r="Q421" i="2"/>
  <c r="O421" i="2"/>
  <c r="L421" i="2"/>
  <c r="AK420" i="2"/>
  <c r="AI420" i="2"/>
  <c r="AG420" i="2"/>
  <c r="AE420" i="2"/>
  <c r="AC420" i="2"/>
  <c r="AA420" i="2"/>
  <c r="Y420" i="2"/>
  <c r="W420" i="2"/>
  <c r="U420" i="2"/>
  <c r="S420" i="2"/>
  <c r="Q420" i="2"/>
  <c r="O420" i="2"/>
  <c r="L420" i="2"/>
  <c r="AK419" i="2"/>
  <c r="AI419" i="2"/>
  <c r="AG419" i="2"/>
  <c r="AE419" i="2"/>
  <c r="AC419" i="2"/>
  <c r="AA419" i="2"/>
  <c r="Y419" i="2"/>
  <c r="W419" i="2"/>
  <c r="U419" i="2"/>
  <c r="S419" i="2"/>
  <c r="Q419" i="2"/>
  <c r="O419" i="2"/>
  <c r="L419" i="2"/>
  <c r="AK418" i="2"/>
  <c r="AI418" i="2"/>
  <c r="AG418" i="2"/>
  <c r="AE418" i="2"/>
  <c r="AC418" i="2"/>
  <c r="AA418" i="2"/>
  <c r="Y418" i="2"/>
  <c r="W418" i="2"/>
  <c r="U418" i="2"/>
  <c r="S418" i="2"/>
  <c r="Q418" i="2"/>
  <c r="O418" i="2"/>
  <c r="L418" i="2"/>
  <c r="AK417" i="2"/>
  <c r="AI417" i="2"/>
  <c r="AG417" i="2"/>
  <c r="AE417" i="2"/>
  <c r="AC417" i="2"/>
  <c r="AA417" i="2"/>
  <c r="Y417" i="2"/>
  <c r="W417" i="2"/>
  <c r="U417" i="2"/>
  <c r="S417" i="2"/>
  <c r="Q417" i="2"/>
  <c r="O417" i="2"/>
  <c r="L417" i="2"/>
  <c r="AK416" i="2"/>
  <c r="AI416" i="2"/>
  <c r="AG416" i="2"/>
  <c r="AE416" i="2"/>
  <c r="AC416" i="2"/>
  <c r="AA416" i="2"/>
  <c r="Y416" i="2"/>
  <c r="W416" i="2"/>
  <c r="U416" i="2"/>
  <c r="S416" i="2"/>
  <c r="Q416" i="2"/>
  <c r="O416" i="2"/>
  <c r="L416" i="2"/>
  <c r="AK415" i="2"/>
  <c r="AI415" i="2"/>
  <c r="AG415" i="2"/>
  <c r="AE415" i="2"/>
  <c r="AC415" i="2"/>
  <c r="AA415" i="2"/>
  <c r="Y415" i="2"/>
  <c r="W415" i="2"/>
  <c r="S415" i="2"/>
  <c r="Q415" i="2"/>
  <c r="O415" i="2"/>
  <c r="L415" i="2"/>
  <c r="AK414" i="2"/>
  <c r="AI414" i="2"/>
  <c r="AG414" i="2"/>
  <c r="AE414" i="2"/>
  <c r="AC414" i="2"/>
  <c r="AA414" i="2"/>
  <c r="Y414" i="2"/>
  <c r="W414" i="2"/>
  <c r="U414" i="2"/>
  <c r="S414" i="2"/>
  <c r="Q414" i="2"/>
  <c r="O414" i="2"/>
  <c r="L414" i="2"/>
  <c r="AK413" i="2"/>
  <c r="AG413" i="2"/>
  <c r="AE413" i="2"/>
  <c r="AC413" i="2"/>
  <c r="AA413" i="2"/>
  <c r="Y413" i="2"/>
  <c r="W413" i="2"/>
  <c r="U413" i="2"/>
  <c r="S413" i="2"/>
  <c r="L413" i="2"/>
  <c r="AK412" i="2"/>
  <c r="AI412" i="2"/>
  <c r="AG412" i="2"/>
  <c r="AE412" i="2"/>
  <c r="AC412" i="2"/>
  <c r="AA412" i="2"/>
  <c r="Y412" i="2"/>
  <c r="W412" i="2"/>
  <c r="U412" i="2"/>
  <c r="Q412" i="2"/>
  <c r="O412" i="2"/>
  <c r="L412" i="2"/>
  <c r="K411" i="2"/>
  <c r="AK411" i="2" s="1"/>
  <c r="AK410" i="2"/>
  <c r="AI410" i="2"/>
  <c r="AG410" i="2"/>
  <c r="AE410" i="2"/>
  <c r="AC410" i="2"/>
  <c r="AA410" i="2"/>
  <c r="Y410" i="2"/>
  <c r="W410" i="2"/>
  <c r="U410" i="2"/>
  <c r="S410" i="2"/>
  <c r="Q410" i="2"/>
  <c r="L410" i="2"/>
  <c r="AK408" i="2"/>
  <c r="AI408" i="2"/>
  <c r="AG408" i="2"/>
  <c r="AC408" i="2"/>
  <c r="AA408" i="2"/>
  <c r="Y408" i="2"/>
  <c r="W408" i="2"/>
  <c r="U408" i="2"/>
  <c r="Q408" i="2"/>
  <c r="L408" i="2"/>
  <c r="AK407" i="2"/>
  <c r="AI407" i="2"/>
  <c r="AG407" i="2"/>
  <c r="AE407" i="2"/>
  <c r="AC407" i="2"/>
  <c r="AA407" i="2"/>
  <c r="Y407" i="2"/>
  <c r="W407" i="2"/>
  <c r="U407" i="2"/>
  <c r="Q407" i="2"/>
  <c r="O407" i="2"/>
  <c r="L407" i="2"/>
  <c r="AK406" i="2"/>
  <c r="AI406" i="2"/>
  <c r="AG406" i="2"/>
  <c r="AE406" i="2"/>
  <c r="AC406" i="2"/>
  <c r="AA406" i="2"/>
  <c r="Y406" i="2"/>
  <c r="W406" i="2"/>
  <c r="U406" i="2"/>
  <c r="Q406" i="2"/>
  <c r="L406" i="2"/>
  <c r="AK405" i="2"/>
  <c r="AG405" i="2"/>
  <c r="AE405" i="2"/>
  <c r="AC405" i="2"/>
  <c r="AA405" i="2"/>
  <c r="W405" i="2"/>
  <c r="S405" i="2"/>
  <c r="Q405" i="2"/>
  <c r="O405" i="2"/>
  <c r="L405" i="2"/>
  <c r="AJ404" i="2"/>
  <c r="AK404" i="2" s="1"/>
  <c r="AH404" i="2"/>
  <c r="AI404" i="2" s="1"/>
  <c r="AF404" i="2"/>
  <c r="AG404" i="2" s="1"/>
  <c r="AD404" i="2"/>
  <c r="AE404" i="2" s="1"/>
  <c r="AB404" i="2"/>
  <c r="AC404" i="2" s="1"/>
  <c r="Z404" i="2"/>
  <c r="AA404" i="2" s="1"/>
  <c r="X404" i="2"/>
  <c r="Y404" i="2" s="1"/>
  <c r="V404" i="2"/>
  <c r="W404" i="2" s="1"/>
  <c r="T404" i="2"/>
  <c r="U404" i="2" s="1"/>
  <c r="R404" i="2"/>
  <c r="S404" i="2" s="1"/>
  <c r="P404" i="2"/>
  <c r="Q404" i="2" s="1"/>
  <c r="N404" i="2"/>
  <c r="O404" i="2" s="1"/>
  <c r="L404" i="2"/>
  <c r="M402" i="2"/>
  <c r="AJ401" i="2"/>
  <c r="AK401" i="2" s="1"/>
  <c r="AH401" i="2"/>
  <c r="AI401" i="2" s="1"/>
  <c r="AE401" i="2"/>
  <c r="U401" i="2"/>
  <c r="L401" i="2"/>
  <c r="AA400" i="2"/>
  <c r="U400" i="2"/>
  <c r="L400" i="2"/>
  <c r="U399" i="2"/>
  <c r="AL399" i="2" s="1"/>
  <c r="L399" i="2"/>
  <c r="Y398" i="2"/>
  <c r="AL398" i="2" s="1"/>
  <c r="L398" i="2"/>
  <c r="W397" i="2"/>
  <c r="S397" i="2"/>
  <c r="L397" i="2"/>
  <c r="U396" i="2"/>
  <c r="AL396" i="2" s="1"/>
  <c r="L396" i="2"/>
  <c r="U395" i="2"/>
  <c r="AL395" i="2" s="1"/>
  <c r="L395" i="2"/>
  <c r="AC394" i="2"/>
  <c r="U394" i="2"/>
  <c r="L394" i="2"/>
  <c r="U393" i="2"/>
  <c r="S393" i="2"/>
  <c r="L393" i="2"/>
  <c r="U392" i="2"/>
  <c r="S392" i="2"/>
  <c r="L392" i="2"/>
  <c r="AC391" i="2"/>
  <c r="S391" i="2"/>
  <c r="L391" i="2"/>
  <c r="AA390" i="2"/>
  <c r="U390" i="2"/>
  <c r="L390" i="2"/>
  <c r="AI389" i="2"/>
  <c r="AE389" i="2"/>
  <c r="AA389" i="2"/>
  <c r="W389" i="2"/>
  <c r="Q389" i="2"/>
  <c r="L389" i="2"/>
  <c r="Q388" i="2"/>
  <c r="AL388" i="2" s="1"/>
  <c r="L388" i="2"/>
  <c r="S387" i="2"/>
  <c r="AL387" i="2" s="1"/>
  <c r="L387" i="2"/>
  <c r="S386" i="2"/>
  <c r="AL386" i="2" s="1"/>
  <c r="L386" i="2"/>
  <c r="S385" i="2"/>
  <c r="AL385" i="2" s="1"/>
  <c r="L385" i="2"/>
  <c r="M381" i="2"/>
  <c r="S380" i="2"/>
  <c r="AL380" i="2" s="1"/>
  <c r="L380" i="2"/>
  <c r="S379" i="2"/>
  <c r="AL379" i="2" s="1"/>
  <c r="L379" i="2"/>
  <c r="W378" i="2"/>
  <c r="AL378" i="2" s="1"/>
  <c r="L378" i="2"/>
  <c r="M376" i="2"/>
  <c r="Q375" i="2"/>
  <c r="AL375" i="2" s="1"/>
  <c r="L375" i="2"/>
  <c r="K374" i="2"/>
  <c r="AG374" i="2" s="1"/>
  <c r="AE373" i="2"/>
  <c r="W373" i="2"/>
  <c r="L373" i="2"/>
  <c r="AE371" i="2"/>
  <c r="Y371" i="2"/>
  <c r="L371" i="2"/>
  <c r="L370" i="2" s="1"/>
  <c r="M369" i="2"/>
  <c r="S363" i="2"/>
  <c r="AL363" i="2" s="1"/>
  <c r="L363" i="2"/>
  <c r="AA362" i="2"/>
  <c r="S362" i="2"/>
  <c r="L362" i="2"/>
  <c r="M360" i="2"/>
  <c r="S355" i="2"/>
  <c r="AL355" i="2" s="1"/>
  <c r="L355" i="2"/>
  <c r="S354" i="2"/>
  <c r="AL354" i="2" s="1"/>
  <c r="L354" i="2"/>
  <c r="S353" i="2"/>
  <c r="AL353" i="2" s="1"/>
  <c r="L353" i="2"/>
  <c r="S352" i="2"/>
  <c r="AL352" i="2" s="1"/>
  <c r="L352" i="2"/>
  <c r="M350" i="2"/>
  <c r="AE347" i="2"/>
  <c r="U347" i="2"/>
  <c r="L347" i="2"/>
  <c r="L346" i="2" s="1"/>
  <c r="S345" i="2"/>
  <c r="AL345" i="2" s="1"/>
  <c r="L345" i="2"/>
  <c r="L344" i="2" s="1"/>
  <c r="Y343" i="2"/>
  <c r="S343" i="2"/>
  <c r="L343" i="2"/>
  <c r="Y342" i="2"/>
  <c r="S342" i="2"/>
  <c r="L342" i="2"/>
  <c r="M338" i="2"/>
  <c r="M335" i="2"/>
  <c r="AJ333" i="2"/>
  <c r="AK333" i="2" s="1"/>
  <c r="AH333" i="2"/>
  <c r="AI333" i="2" s="1"/>
  <c r="AF333" i="2"/>
  <c r="AG333" i="2" s="1"/>
  <c r="AD333" i="2"/>
  <c r="AE333" i="2" s="1"/>
  <c r="AB333" i="2"/>
  <c r="AC333" i="2" s="1"/>
  <c r="Z333" i="2"/>
  <c r="AA333" i="2" s="1"/>
  <c r="X333" i="2"/>
  <c r="Y333" i="2" s="1"/>
  <c r="V333" i="2"/>
  <c r="W333" i="2" s="1"/>
  <c r="T333" i="2"/>
  <c r="U333" i="2" s="1"/>
  <c r="R333" i="2"/>
  <c r="S333" i="2" s="1"/>
  <c r="P333" i="2"/>
  <c r="Q333" i="2" s="1"/>
  <c r="N333" i="2"/>
  <c r="O333" i="2" s="1"/>
  <c r="L333" i="2"/>
  <c r="AJ332" i="2"/>
  <c r="AK332" i="2" s="1"/>
  <c r="AH332" i="2"/>
  <c r="AI332" i="2" s="1"/>
  <c r="AF332" i="2"/>
  <c r="AG332" i="2" s="1"/>
  <c r="AD332" i="2"/>
  <c r="AE332" i="2" s="1"/>
  <c r="AB332" i="2"/>
  <c r="AC332" i="2" s="1"/>
  <c r="Z332" i="2"/>
  <c r="AA332" i="2" s="1"/>
  <c r="X332" i="2"/>
  <c r="Y332" i="2" s="1"/>
  <c r="V332" i="2"/>
  <c r="W332" i="2" s="1"/>
  <c r="T332" i="2"/>
  <c r="U332" i="2" s="1"/>
  <c r="R332" i="2"/>
  <c r="S332" i="2" s="1"/>
  <c r="P332" i="2"/>
  <c r="Q332" i="2" s="1"/>
  <c r="N332" i="2"/>
  <c r="O332" i="2" s="1"/>
  <c r="L332" i="2"/>
  <c r="AJ331" i="2"/>
  <c r="AK331" i="2" s="1"/>
  <c r="AH331" i="2"/>
  <c r="AI331" i="2" s="1"/>
  <c r="AF331" i="2"/>
  <c r="AG331" i="2" s="1"/>
  <c r="AD331" i="2"/>
  <c r="AE331" i="2" s="1"/>
  <c r="AB331" i="2"/>
  <c r="AC331" i="2" s="1"/>
  <c r="Z331" i="2"/>
  <c r="AA331" i="2" s="1"/>
  <c r="X331" i="2"/>
  <c r="Y331" i="2" s="1"/>
  <c r="V331" i="2"/>
  <c r="W331" i="2" s="1"/>
  <c r="T331" i="2"/>
  <c r="U331" i="2" s="1"/>
  <c r="R331" i="2"/>
  <c r="S331" i="2" s="1"/>
  <c r="P331" i="2"/>
  <c r="Q331" i="2" s="1"/>
  <c r="N331" i="2"/>
  <c r="O331" i="2" s="1"/>
  <c r="L331" i="2"/>
  <c r="M329" i="2"/>
  <c r="M328" i="2" s="1"/>
  <c r="AJ327" i="2"/>
  <c r="AH327" i="2"/>
  <c r="AF327" i="2"/>
  <c r="AD327" i="2"/>
  <c r="AB327" i="2"/>
  <c r="Z327" i="2"/>
  <c r="X327" i="2"/>
  <c r="V327" i="2"/>
  <c r="T327" i="2"/>
  <c r="R327" i="2"/>
  <c r="P327" i="2"/>
  <c r="N327" i="2"/>
  <c r="AJ326" i="2"/>
  <c r="AK326" i="2" s="1"/>
  <c r="AH326" i="2"/>
  <c r="AI326" i="2" s="1"/>
  <c r="AF326" i="2"/>
  <c r="AG326" i="2" s="1"/>
  <c r="AD326" i="2"/>
  <c r="AE326" i="2" s="1"/>
  <c r="AB326" i="2"/>
  <c r="AC326" i="2" s="1"/>
  <c r="Z326" i="2"/>
  <c r="AA326" i="2" s="1"/>
  <c r="X326" i="2"/>
  <c r="Y326" i="2" s="1"/>
  <c r="V326" i="2"/>
  <c r="W326" i="2" s="1"/>
  <c r="T326" i="2"/>
  <c r="U326" i="2" s="1"/>
  <c r="R326" i="2"/>
  <c r="S326" i="2" s="1"/>
  <c r="P326" i="2"/>
  <c r="Q326" i="2" s="1"/>
  <c r="N326" i="2"/>
  <c r="O326" i="2" s="1"/>
  <c r="L326" i="2"/>
  <c r="M324" i="2"/>
  <c r="M314" i="2" s="1"/>
  <c r="Q313" i="2"/>
  <c r="AI310" i="2"/>
  <c r="AA310" i="2"/>
  <c r="U310" i="2"/>
  <c r="Q310" i="2"/>
  <c r="L310" i="2"/>
  <c r="AA309" i="2"/>
  <c r="S309" i="2"/>
  <c r="L309" i="2"/>
  <c r="S308" i="2"/>
  <c r="AL308" i="2" s="1"/>
  <c r="L308" i="2"/>
  <c r="S307" i="2"/>
  <c r="AL307" i="2" s="1"/>
  <c r="L307" i="2"/>
  <c r="S306" i="2"/>
  <c r="AL306" i="2" s="1"/>
  <c r="L306" i="2"/>
  <c r="AJ305" i="2"/>
  <c r="AK305" i="2" s="1"/>
  <c r="AH305" i="2"/>
  <c r="AI305" i="2" s="1"/>
  <c r="AF305" i="2"/>
  <c r="AG305" i="2" s="1"/>
  <c r="AD305" i="2"/>
  <c r="AE305" i="2" s="1"/>
  <c r="AB305" i="2"/>
  <c r="AC305" i="2" s="1"/>
  <c r="Z305" i="2"/>
  <c r="AA305" i="2" s="1"/>
  <c r="X305" i="2"/>
  <c r="Y305" i="2" s="1"/>
  <c r="V305" i="2"/>
  <c r="W305" i="2" s="1"/>
  <c r="T305" i="2"/>
  <c r="U305" i="2" s="1"/>
  <c r="S305" i="2"/>
  <c r="L305" i="2"/>
  <c r="M303" i="2"/>
  <c r="Y302" i="2"/>
  <c r="S302" i="2"/>
  <c r="L302" i="2"/>
  <c r="Y301" i="2"/>
  <c r="S301" i="2"/>
  <c r="L301" i="2"/>
  <c r="K300" i="2"/>
  <c r="Y299" i="2"/>
  <c r="S299" i="2"/>
  <c r="L299" i="2"/>
  <c r="AJ298" i="2"/>
  <c r="AK298" i="2" s="1"/>
  <c r="AH298" i="2"/>
  <c r="AI298" i="2" s="1"/>
  <c r="AF298" i="2"/>
  <c r="AG298" i="2" s="1"/>
  <c r="AD298" i="2"/>
  <c r="AE298" i="2" s="1"/>
  <c r="AB298" i="2"/>
  <c r="AC298" i="2" s="1"/>
  <c r="Z298" i="2"/>
  <c r="AA298" i="2" s="1"/>
  <c r="X298" i="2"/>
  <c r="Y298" i="2" s="1"/>
  <c r="V298" i="2"/>
  <c r="W298" i="2" s="1"/>
  <c r="T298" i="2"/>
  <c r="U298" i="2" s="1"/>
  <c r="S298" i="2"/>
  <c r="L298" i="2"/>
  <c r="AJ297" i="2"/>
  <c r="AK297" i="2" s="1"/>
  <c r="AH297" i="2"/>
  <c r="AI297" i="2" s="1"/>
  <c r="AF297" i="2"/>
  <c r="AG297" i="2" s="1"/>
  <c r="AD297" i="2"/>
  <c r="AE297" i="2" s="1"/>
  <c r="AB297" i="2"/>
  <c r="AC297" i="2" s="1"/>
  <c r="Z297" i="2"/>
  <c r="AA297" i="2" s="1"/>
  <c r="X297" i="2"/>
  <c r="Y297" i="2" s="1"/>
  <c r="V297" i="2"/>
  <c r="W297" i="2" s="1"/>
  <c r="T297" i="2"/>
  <c r="U297" i="2" s="1"/>
  <c r="S297" i="2"/>
  <c r="L297" i="2"/>
  <c r="AJ296" i="2"/>
  <c r="AK296" i="2" s="1"/>
  <c r="AH296" i="2"/>
  <c r="AI296" i="2" s="1"/>
  <c r="AF296" i="2"/>
  <c r="AG296" i="2" s="1"/>
  <c r="AD296" i="2"/>
  <c r="AE296" i="2" s="1"/>
  <c r="AB296" i="2"/>
  <c r="AC296" i="2" s="1"/>
  <c r="Z296" i="2"/>
  <c r="AA296" i="2" s="1"/>
  <c r="X296" i="2"/>
  <c r="Y296" i="2" s="1"/>
  <c r="V296" i="2"/>
  <c r="W296" i="2" s="1"/>
  <c r="T296" i="2"/>
  <c r="U296" i="2" s="1"/>
  <c r="S296" i="2"/>
  <c r="L296" i="2"/>
  <c r="AJ295" i="2"/>
  <c r="AK295" i="2" s="1"/>
  <c r="AH295" i="2"/>
  <c r="AI295" i="2" s="1"/>
  <c r="AF295" i="2"/>
  <c r="AG295" i="2" s="1"/>
  <c r="AD295" i="2"/>
  <c r="AE295" i="2" s="1"/>
  <c r="AB295" i="2"/>
  <c r="AC295" i="2" s="1"/>
  <c r="Z295" i="2"/>
  <c r="AA295" i="2" s="1"/>
  <c r="X295" i="2"/>
  <c r="Y295" i="2" s="1"/>
  <c r="V295" i="2"/>
  <c r="W295" i="2" s="1"/>
  <c r="T295" i="2"/>
  <c r="U295" i="2" s="1"/>
  <c r="S295" i="2"/>
  <c r="L295" i="2"/>
  <c r="W293" i="2"/>
  <c r="AL293" i="2" s="1"/>
  <c r="L293" i="2"/>
  <c r="L292" i="2" s="1"/>
  <c r="W290" i="2"/>
  <c r="AL290" i="2" s="1"/>
  <c r="L290" i="2"/>
  <c r="L289" i="2"/>
  <c r="L288" i="2"/>
  <c r="S286" i="2"/>
  <c r="AL286" i="2" s="1"/>
  <c r="M284" i="2"/>
  <c r="U283" i="2"/>
  <c r="AL283" i="2" s="1"/>
  <c r="L283" i="2"/>
  <c r="L282" i="2" s="1"/>
  <c r="AC281" i="2"/>
  <c r="U281" i="2"/>
  <c r="L281" i="2"/>
  <c r="AC279" i="2"/>
  <c r="U279" i="2"/>
  <c r="L279" i="2"/>
  <c r="AC278" i="2"/>
  <c r="U278" i="2"/>
  <c r="L278" i="2"/>
  <c r="AC277" i="2"/>
  <c r="U277" i="2"/>
  <c r="L277" i="2"/>
  <c r="AC276" i="2"/>
  <c r="U276" i="2"/>
  <c r="L276" i="2"/>
  <c r="AJ275" i="2"/>
  <c r="AK275" i="2" s="1"/>
  <c r="AH275" i="2"/>
  <c r="AI275" i="2" s="1"/>
  <c r="AF275" i="2"/>
  <c r="AG275" i="2" s="1"/>
  <c r="AD275" i="2"/>
  <c r="AE275" i="2" s="1"/>
  <c r="AB275" i="2"/>
  <c r="AC275" i="2" s="1"/>
  <c r="Z275" i="2"/>
  <c r="AA275" i="2" s="1"/>
  <c r="X275" i="2"/>
  <c r="Y275" i="2" s="1"/>
  <c r="V275" i="2"/>
  <c r="W275" i="2" s="1"/>
  <c r="T275" i="2"/>
  <c r="U275" i="2" s="1"/>
  <c r="R275" i="2"/>
  <c r="S275" i="2" s="1"/>
  <c r="P275" i="2"/>
  <c r="Q275" i="2" s="1"/>
  <c r="N275" i="2"/>
  <c r="O275" i="2" s="1"/>
  <c r="L275" i="2"/>
  <c r="AJ273" i="2"/>
  <c r="AK273" i="2" s="1"/>
  <c r="AH273" i="2"/>
  <c r="AI273" i="2" s="1"/>
  <c r="AF273" i="2"/>
  <c r="AG273" i="2" s="1"/>
  <c r="AD273" i="2"/>
  <c r="AE273" i="2" s="1"/>
  <c r="AB273" i="2"/>
  <c r="AC273" i="2" s="1"/>
  <c r="Z273" i="2"/>
  <c r="AA273" i="2" s="1"/>
  <c r="X273" i="2"/>
  <c r="Y273" i="2" s="1"/>
  <c r="V273" i="2"/>
  <c r="W273" i="2" s="1"/>
  <c r="T273" i="2"/>
  <c r="U273" i="2" s="1"/>
  <c r="R273" i="2"/>
  <c r="S273" i="2" s="1"/>
  <c r="P273" i="2"/>
  <c r="Q273" i="2" s="1"/>
  <c r="N273" i="2"/>
  <c r="O273" i="2" s="1"/>
  <c r="L273" i="2"/>
  <c r="AI272" i="2"/>
  <c r="AC272" i="2"/>
  <c r="W272" i="2"/>
  <c r="Q272" i="2"/>
  <c r="L272" i="2"/>
  <c r="AJ271" i="2"/>
  <c r="AH271" i="2"/>
  <c r="AF271" i="2"/>
  <c r="AD271" i="2"/>
  <c r="AB271" i="2"/>
  <c r="Z271" i="2"/>
  <c r="X271" i="2"/>
  <c r="V271" i="2"/>
  <c r="T271" i="2"/>
  <c r="R271" i="2"/>
  <c r="P271" i="2"/>
  <c r="N271" i="2"/>
  <c r="K271" i="2"/>
  <c r="AG270" i="2"/>
  <c r="Y270" i="2"/>
  <c r="Q270" i="2"/>
  <c r="L270" i="2"/>
  <c r="AJ269" i="2"/>
  <c r="AK269" i="2" s="1"/>
  <c r="AH269" i="2"/>
  <c r="AI269" i="2" s="1"/>
  <c r="AF269" i="2"/>
  <c r="AG269" i="2" s="1"/>
  <c r="AD269" i="2"/>
  <c r="AE269" i="2" s="1"/>
  <c r="AB269" i="2"/>
  <c r="AC269" i="2" s="1"/>
  <c r="Z269" i="2"/>
  <c r="AA269" i="2" s="1"/>
  <c r="X269" i="2"/>
  <c r="Y269" i="2" s="1"/>
  <c r="V269" i="2"/>
  <c r="W269" i="2" s="1"/>
  <c r="T269" i="2"/>
  <c r="U269" i="2" s="1"/>
  <c r="R269" i="2"/>
  <c r="S269" i="2" s="1"/>
  <c r="P269" i="2"/>
  <c r="Q269" i="2" s="1"/>
  <c r="N269" i="2"/>
  <c r="O269" i="2" s="1"/>
  <c r="L269" i="2"/>
  <c r="AJ268" i="2"/>
  <c r="AK268" i="2" s="1"/>
  <c r="AH268" i="2"/>
  <c r="AI268" i="2" s="1"/>
  <c r="AF268" i="2"/>
  <c r="AG268" i="2" s="1"/>
  <c r="AD268" i="2"/>
  <c r="AE268" i="2" s="1"/>
  <c r="AB268" i="2"/>
  <c r="AC268" i="2" s="1"/>
  <c r="Z268" i="2"/>
  <c r="AA268" i="2" s="1"/>
  <c r="X268" i="2"/>
  <c r="Y268" i="2" s="1"/>
  <c r="V268" i="2"/>
  <c r="W268" i="2" s="1"/>
  <c r="T268" i="2"/>
  <c r="U268" i="2" s="1"/>
  <c r="R268" i="2"/>
  <c r="S268" i="2" s="1"/>
  <c r="P268" i="2"/>
  <c r="Q268" i="2" s="1"/>
  <c r="N268" i="2"/>
  <c r="O268" i="2" s="1"/>
  <c r="L268" i="2"/>
  <c r="AE266" i="2"/>
  <c r="U266" i="2"/>
  <c r="L266" i="2"/>
  <c r="L265" i="2" s="1"/>
  <c r="M264" i="2"/>
  <c r="AC263" i="2"/>
  <c r="S263" i="2"/>
  <c r="L263" i="2"/>
  <c r="AC262" i="2"/>
  <c r="S262" i="2"/>
  <c r="L262" i="2"/>
  <c r="AK261" i="2"/>
  <c r="AG261" i="2"/>
  <c r="AC261" i="2"/>
  <c r="W261" i="2"/>
  <c r="S261" i="2"/>
  <c r="L261" i="2"/>
  <c r="N258" i="2"/>
  <c r="K258" i="2"/>
  <c r="AI258" i="2" s="1"/>
  <c r="N257" i="2"/>
  <c r="K257" i="2"/>
  <c r="U256" i="2"/>
  <c r="AL256" i="2" s="1"/>
  <c r="L256" i="2"/>
  <c r="AE255" i="2"/>
  <c r="Y255" i="2"/>
  <c r="U255" i="2"/>
  <c r="S255" i="2"/>
  <c r="O255" i="2"/>
  <c r="L255" i="2"/>
  <c r="AA254" i="2"/>
  <c r="Q254" i="2"/>
  <c r="L254" i="2"/>
  <c r="AE253" i="2"/>
  <c r="W253" i="2"/>
  <c r="U253" i="2"/>
  <c r="L253" i="2"/>
  <c r="AJ252" i="2"/>
  <c r="AK252" i="2" s="1"/>
  <c r="AH252" i="2"/>
  <c r="AI252" i="2" s="1"/>
  <c r="AF252" i="2"/>
  <c r="AG252" i="2" s="1"/>
  <c r="AD252" i="2"/>
  <c r="AE252" i="2" s="1"/>
  <c r="AB252" i="2"/>
  <c r="AC252" i="2" s="1"/>
  <c r="Z252" i="2"/>
  <c r="AA252" i="2" s="1"/>
  <c r="X252" i="2"/>
  <c r="Y252" i="2" s="1"/>
  <c r="V252" i="2"/>
  <c r="W252" i="2" s="1"/>
  <c r="T252" i="2"/>
  <c r="U252" i="2" s="1"/>
  <c r="R252" i="2"/>
  <c r="S252" i="2" s="1"/>
  <c r="P252" i="2"/>
  <c r="Q252" i="2" s="1"/>
  <c r="N252" i="2"/>
  <c r="O252" i="2" s="1"/>
  <c r="L252" i="2"/>
  <c r="AK251" i="2"/>
  <c r="AI251" i="2"/>
  <c r="AG251" i="2"/>
  <c r="AE251" i="2"/>
  <c r="AC251" i="2"/>
  <c r="AA251" i="2"/>
  <c r="Y251" i="2"/>
  <c r="W251" i="2"/>
  <c r="U251" i="2"/>
  <c r="S251" i="2"/>
  <c r="Q251" i="2"/>
  <c r="O251" i="2"/>
  <c r="L251" i="2"/>
  <c r="AC250" i="2"/>
  <c r="U250" i="2"/>
  <c r="L250" i="2"/>
  <c r="AJ249" i="2"/>
  <c r="AK249" i="2" s="1"/>
  <c r="AH249" i="2"/>
  <c r="AI249" i="2" s="1"/>
  <c r="AF249" i="2"/>
  <c r="AG249" i="2" s="1"/>
  <c r="AD249" i="2"/>
  <c r="AE249" i="2" s="1"/>
  <c r="AB249" i="2"/>
  <c r="AC249" i="2" s="1"/>
  <c r="Z249" i="2"/>
  <c r="AA249" i="2" s="1"/>
  <c r="X249" i="2"/>
  <c r="Y249" i="2" s="1"/>
  <c r="V249" i="2"/>
  <c r="W249" i="2" s="1"/>
  <c r="T249" i="2"/>
  <c r="U249" i="2" s="1"/>
  <c r="R249" i="2"/>
  <c r="S249" i="2" s="1"/>
  <c r="P249" i="2"/>
  <c r="Q249" i="2" s="1"/>
  <c r="N249" i="2"/>
  <c r="O249" i="2" s="1"/>
  <c r="L249" i="2"/>
  <c r="AJ248" i="2"/>
  <c r="AK248" i="2" s="1"/>
  <c r="AH248" i="2"/>
  <c r="AI248" i="2" s="1"/>
  <c r="AF248" i="2"/>
  <c r="AG248" i="2" s="1"/>
  <c r="AD248" i="2"/>
  <c r="AE248" i="2" s="1"/>
  <c r="AB248" i="2"/>
  <c r="AC248" i="2" s="1"/>
  <c r="Z248" i="2"/>
  <c r="AA248" i="2" s="1"/>
  <c r="X248" i="2"/>
  <c r="Y248" i="2" s="1"/>
  <c r="V248" i="2"/>
  <c r="W248" i="2" s="1"/>
  <c r="T248" i="2"/>
  <c r="U248" i="2" s="1"/>
  <c r="R248" i="2"/>
  <c r="S248" i="2" s="1"/>
  <c r="P248" i="2"/>
  <c r="Q248" i="2" s="1"/>
  <c r="N248" i="2"/>
  <c r="O248" i="2" s="1"/>
  <c r="L248" i="2"/>
  <c r="AE247" i="2"/>
  <c r="W247" i="2"/>
  <c r="Q247" i="2"/>
  <c r="L247" i="2"/>
  <c r="K246" i="2"/>
  <c r="Q246" i="2" s="1"/>
  <c r="AL246" i="2" s="1"/>
  <c r="AI245" i="2"/>
  <c r="AE245" i="2"/>
  <c r="Y245" i="2"/>
  <c r="W245" i="2"/>
  <c r="Q245" i="2"/>
  <c r="L245" i="2"/>
  <c r="AA244" i="2"/>
  <c r="U244" i="2"/>
  <c r="L244" i="2"/>
  <c r="AE243" i="2"/>
  <c r="W243" i="2"/>
  <c r="L243" i="2"/>
  <c r="AJ242" i="2"/>
  <c r="AK242" i="2" s="1"/>
  <c r="AH242" i="2"/>
  <c r="AI242" i="2" s="1"/>
  <c r="AF242" i="2"/>
  <c r="AG242" i="2" s="1"/>
  <c r="AD242" i="2"/>
  <c r="AE242" i="2" s="1"/>
  <c r="AB242" i="2"/>
  <c r="AC242" i="2" s="1"/>
  <c r="Z242" i="2"/>
  <c r="AA242" i="2" s="1"/>
  <c r="X242" i="2"/>
  <c r="Y242" i="2" s="1"/>
  <c r="V242" i="2"/>
  <c r="W242" i="2" s="1"/>
  <c r="T242" i="2"/>
  <c r="U242" i="2" s="1"/>
  <c r="R242" i="2"/>
  <c r="S242" i="2" s="1"/>
  <c r="P242" i="2"/>
  <c r="Q242" i="2" s="1"/>
  <c r="N242" i="2"/>
  <c r="O242" i="2" s="1"/>
  <c r="L242" i="2"/>
  <c r="AJ241" i="2"/>
  <c r="AK241" i="2" s="1"/>
  <c r="AH241" i="2"/>
  <c r="AI241" i="2" s="1"/>
  <c r="AF241" i="2"/>
  <c r="AG241" i="2" s="1"/>
  <c r="AD241" i="2"/>
  <c r="AE241" i="2" s="1"/>
  <c r="AB241" i="2"/>
  <c r="AC241" i="2" s="1"/>
  <c r="Z241" i="2"/>
  <c r="AA241" i="2" s="1"/>
  <c r="X241" i="2"/>
  <c r="Y241" i="2" s="1"/>
  <c r="V241" i="2"/>
  <c r="W241" i="2" s="1"/>
  <c r="T241" i="2"/>
  <c r="U241" i="2" s="1"/>
  <c r="R241" i="2"/>
  <c r="S241" i="2" s="1"/>
  <c r="P241" i="2"/>
  <c r="Q241" i="2" s="1"/>
  <c r="N241" i="2"/>
  <c r="O241" i="2" s="1"/>
  <c r="L241" i="2"/>
  <c r="AJ240" i="2"/>
  <c r="AK240" i="2" s="1"/>
  <c r="AH240" i="2"/>
  <c r="AI240" i="2" s="1"/>
  <c r="AF240" i="2"/>
  <c r="AG240" i="2" s="1"/>
  <c r="AD240" i="2"/>
  <c r="AE240" i="2" s="1"/>
  <c r="AB240" i="2"/>
  <c r="AC240" i="2" s="1"/>
  <c r="Z240" i="2"/>
  <c r="AA240" i="2" s="1"/>
  <c r="X240" i="2"/>
  <c r="Y240" i="2" s="1"/>
  <c r="V240" i="2"/>
  <c r="W240" i="2" s="1"/>
  <c r="T240" i="2"/>
  <c r="U240" i="2" s="1"/>
  <c r="R240" i="2"/>
  <c r="S240" i="2" s="1"/>
  <c r="P240" i="2"/>
  <c r="Q240" i="2" s="1"/>
  <c r="N240" i="2"/>
  <c r="O240" i="2" s="1"/>
  <c r="L240" i="2"/>
  <c r="AK239" i="2"/>
  <c r="AI239" i="2"/>
  <c r="AG239" i="2"/>
  <c r="AE239" i="2"/>
  <c r="AC239" i="2"/>
  <c r="AA239" i="2"/>
  <c r="Y239" i="2"/>
  <c r="W239" i="2"/>
  <c r="U239" i="2"/>
  <c r="S239" i="2"/>
  <c r="Q239" i="2"/>
  <c r="O239" i="2"/>
  <c r="L239" i="2"/>
  <c r="AG238" i="2"/>
  <c r="AE238" i="2"/>
  <c r="AC238" i="2"/>
  <c r="AA238" i="2"/>
  <c r="Y238" i="2"/>
  <c r="W238" i="2"/>
  <c r="U238" i="2"/>
  <c r="S238" i="2"/>
  <c r="Q238" i="2"/>
  <c r="O238" i="2"/>
  <c r="L238" i="2"/>
  <c r="AK237" i="2"/>
  <c r="AI237" i="2"/>
  <c r="AG237" i="2"/>
  <c r="AE237" i="2"/>
  <c r="AC237" i="2"/>
  <c r="AA237" i="2"/>
  <c r="Y237" i="2"/>
  <c r="W237" i="2"/>
  <c r="U237" i="2"/>
  <c r="S237" i="2"/>
  <c r="Q237" i="2"/>
  <c r="O237" i="2"/>
  <c r="L237" i="2"/>
  <c r="AJ236" i="2"/>
  <c r="AK236" i="2" s="1"/>
  <c r="AH236" i="2"/>
  <c r="AI236" i="2" s="1"/>
  <c r="AF236" i="2"/>
  <c r="AG236" i="2" s="1"/>
  <c r="AD236" i="2"/>
  <c r="AE236" i="2" s="1"/>
  <c r="AB236" i="2"/>
  <c r="AC236" i="2" s="1"/>
  <c r="Z236" i="2"/>
  <c r="AA236" i="2" s="1"/>
  <c r="X236" i="2"/>
  <c r="Y236" i="2" s="1"/>
  <c r="V236" i="2"/>
  <c r="W236" i="2" s="1"/>
  <c r="T236" i="2"/>
  <c r="U236" i="2" s="1"/>
  <c r="R236" i="2"/>
  <c r="S236" i="2" s="1"/>
  <c r="P236" i="2"/>
  <c r="Q236" i="2" s="1"/>
  <c r="N236" i="2"/>
  <c r="O236" i="2" s="1"/>
  <c r="L236" i="2"/>
  <c r="AK235" i="2"/>
  <c r="AI235" i="2"/>
  <c r="AG235" i="2"/>
  <c r="AE235" i="2"/>
  <c r="AC235" i="2"/>
  <c r="AA235" i="2"/>
  <c r="Y235" i="2"/>
  <c r="W235" i="2"/>
  <c r="U235" i="2"/>
  <c r="S235" i="2"/>
  <c r="Q235" i="2"/>
  <c r="O235" i="2"/>
  <c r="L235" i="2"/>
  <c r="M233" i="2"/>
  <c r="U231" i="2"/>
  <c r="AL231" i="2" s="1"/>
  <c r="L231" i="2"/>
  <c r="U230" i="2"/>
  <c r="AL230" i="2" s="1"/>
  <c r="L230" i="2"/>
  <c r="U229" i="2"/>
  <c r="AL229" i="2" s="1"/>
  <c r="L229" i="2"/>
  <c r="M228" i="2"/>
  <c r="Y227" i="2"/>
  <c r="AL227" i="2" s="1"/>
  <c r="L227" i="2"/>
  <c r="K226" i="2"/>
  <c r="Y226" i="2" s="1"/>
  <c r="AL226" i="2" s="1"/>
  <c r="Z225" i="2"/>
  <c r="Y225" i="2"/>
  <c r="AL225" i="2" s="1"/>
  <c r="L225" i="2"/>
  <c r="M224" i="2"/>
  <c r="AC223" i="2"/>
  <c r="U223" i="2"/>
  <c r="L223" i="2"/>
  <c r="AC222" i="2"/>
  <c r="U222" i="2"/>
  <c r="L222" i="2"/>
  <c r="AC221" i="2"/>
  <c r="U221" i="2"/>
  <c r="L221" i="2"/>
  <c r="K220" i="2"/>
  <c r="M219" i="2"/>
  <c r="AC218" i="2"/>
  <c r="U218" i="2"/>
  <c r="L218" i="2"/>
  <c r="AC217" i="2"/>
  <c r="U217" i="2"/>
  <c r="L217" i="2"/>
  <c r="AC216" i="2"/>
  <c r="U216" i="2"/>
  <c r="L216" i="2"/>
  <c r="AC215" i="2"/>
  <c r="U215" i="2"/>
  <c r="L215" i="2"/>
  <c r="M213" i="2"/>
  <c r="AC212" i="2"/>
  <c r="U212" i="2"/>
  <c r="L212" i="2"/>
  <c r="L211" i="2" s="1"/>
  <c r="L210" i="2"/>
  <c r="L209" i="2" s="1"/>
  <c r="AC208" i="2"/>
  <c r="U208" i="2"/>
  <c r="L208" i="2"/>
  <c r="AC207" i="2"/>
  <c r="U207" i="2"/>
  <c r="L207" i="2"/>
  <c r="AC206" i="2"/>
  <c r="U206" i="2"/>
  <c r="L206" i="2"/>
  <c r="L205" i="2"/>
  <c r="M203" i="2"/>
  <c r="U200" i="2"/>
  <c r="AL200" i="2" s="1"/>
  <c r="L200" i="2"/>
  <c r="U199" i="2"/>
  <c r="AL199" i="2" s="1"/>
  <c r="L199" i="2"/>
  <c r="U198" i="2"/>
  <c r="AL198" i="2" s="1"/>
  <c r="L198" i="2"/>
  <c r="AJ197" i="2"/>
  <c r="AK197" i="2" s="1"/>
  <c r="AH197" i="2"/>
  <c r="AI197" i="2" s="1"/>
  <c r="AF197" i="2"/>
  <c r="AG197" i="2" s="1"/>
  <c r="AD197" i="2"/>
  <c r="AE197" i="2" s="1"/>
  <c r="AB197" i="2"/>
  <c r="AC197" i="2" s="1"/>
  <c r="Z197" i="2"/>
  <c r="AA197" i="2" s="1"/>
  <c r="X197" i="2"/>
  <c r="Y197" i="2" s="1"/>
  <c r="V197" i="2"/>
  <c r="W197" i="2" s="1"/>
  <c r="T197" i="2"/>
  <c r="U197" i="2" s="1"/>
  <c r="R197" i="2"/>
  <c r="S197" i="2" s="1"/>
  <c r="P197" i="2"/>
  <c r="Q197" i="2" s="1"/>
  <c r="N197" i="2"/>
  <c r="O197" i="2" s="1"/>
  <c r="AJ196" i="2"/>
  <c r="AK196" i="2" s="1"/>
  <c r="AH196" i="2"/>
  <c r="AI196" i="2" s="1"/>
  <c r="AF196" i="2"/>
  <c r="AG196" i="2" s="1"/>
  <c r="AD196" i="2"/>
  <c r="AE196" i="2" s="1"/>
  <c r="AB196" i="2"/>
  <c r="AC196" i="2" s="1"/>
  <c r="Z196" i="2"/>
  <c r="AA196" i="2" s="1"/>
  <c r="X196" i="2"/>
  <c r="Y196" i="2" s="1"/>
  <c r="V196" i="2"/>
  <c r="W196" i="2" s="1"/>
  <c r="T196" i="2"/>
  <c r="U196" i="2" s="1"/>
  <c r="R196" i="2"/>
  <c r="S196" i="2" s="1"/>
  <c r="P196" i="2"/>
  <c r="Q196" i="2" s="1"/>
  <c r="N196" i="2"/>
  <c r="O196" i="2" s="1"/>
  <c r="L196" i="2"/>
  <c r="AJ195" i="2"/>
  <c r="AK195" i="2" s="1"/>
  <c r="AH195" i="2"/>
  <c r="AI195" i="2" s="1"/>
  <c r="AF195" i="2"/>
  <c r="AG195" i="2" s="1"/>
  <c r="AD195" i="2"/>
  <c r="AE195" i="2" s="1"/>
  <c r="AB195" i="2"/>
  <c r="AC195" i="2" s="1"/>
  <c r="Z195" i="2"/>
  <c r="AA195" i="2" s="1"/>
  <c r="X195" i="2"/>
  <c r="Y195" i="2" s="1"/>
  <c r="V195" i="2"/>
  <c r="W195" i="2" s="1"/>
  <c r="T195" i="2"/>
  <c r="U195" i="2" s="1"/>
  <c r="R195" i="2"/>
  <c r="S195" i="2" s="1"/>
  <c r="P195" i="2"/>
  <c r="Q195" i="2" s="1"/>
  <c r="N195" i="2"/>
  <c r="O195" i="2" s="1"/>
  <c r="L195" i="2"/>
  <c r="AJ194" i="2"/>
  <c r="AK194" i="2" s="1"/>
  <c r="AH194" i="2"/>
  <c r="AI194" i="2" s="1"/>
  <c r="AF194" i="2"/>
  <c r="AG194" i="2" s="1"/>
  <c r="AD194" i="2"/>
  <c r="AE194" i="2" s="1"/>
  <c r="AB194" i="2"/>
  <c r="AC194" i="2" s="1"/>
  <c r="Z194" i="2"/>
  <c r="AA194" i="2" s="1"/>
  <c r="X194" i="2"/>
  <c r="Y194" i="2" s="1"/>
  <c r="V194" i="2"/>
  <c r="W194" i="2" s="1"/>
  <c r="T194" i="2"/>
  <c r="U194" i="2" s="1"/>
  <c r="R194" i="2"/>
  <c r="S194" i="2" s="1"/>
  <c r="P194" i="2"/>
  <c r="Q194" i="2" s="1"/>
  <c r="N194" i="2"/>
  <c r="O194" i="2" s="1"/>
  <c r="L194" i="2"/>
  <c r="AJ193" i="2"/>
  <c r="AH193" i="2"/>
  <c r="AF193" i="2"/>
  <c r="AD193" i="2"/>
  <c r="AB193" i="2"/>
  <c r="Z193" i="2"/>
  <c r="X193" i="2"/>
  <c r="V193" i="2"/>
  <c r="T193" i="2"/>
  <c r="R193" i="2"/>
  <c r="P193" i="2"/>
  <c r="N193" i="2"/>
  <c r="K193" i="2"/>
  <c r="M190" i="2"/>
  <c r="AJ189" i="2"/>
  <c r="AK189" i="2" s="1"/>
  <c r="AH189" i="2"/>
  <c r="AI189" i="2" s="1"/>
  <c r="AF189" i="2"/>
  <c r="AG189" i="2" s="1"/>
  <c r="AD189" i="2"/>
  <c r="AE189" i="2" s="1"/>
  <c r="AB189" i="2"/>
  <c r="AC189" i="2" s="1"/>
  <c r="Z189" i="2"/>
  <c r="AA189" i="2" s="1"/>
  <c r="X189" i="2"/>
  <c r="Y189" i="2" s="1"/>
  <c r="V189" i="2"/>
  <c r="W189" i="2" s="1"/>
  <c r="T189" i="2"/>
  <c r="U189" i="2" s="1"/>
  <c r="R189" i="2"/>
  <c r="S189" i="2" s="1"/>
  <c r="P189" i="2"/>
  <c r="Q189" i="2" s="1"/>
  <c r="N189" i="2"/>
  <c r="O189" i="2" s="1"/>
  <c r="L189" i="2"/>
  <c r="AJ188" i="2"/>
  <c r="AH188" i="2"/>
  <c r="AF188" i="2"/>
  <c r="AD188" i="2"/>
  <c r="AB188" i="2"/>
  <c r="Z188" i="2"/>
  <c r="X188" i="2"/>
  <c r="V188" i="2"/>
  <c r="T188" i="2"/>
  <c r="R188" i="2"/>
  <c r="P188" i="2"/>
  <c r="N188" i="2"/>
  <c r="K188" i="2"/>
  <c r="AJ187" i="2"/>
  <c r="AK187" i="2" s="1"/>
  <c r="AH187" i="2"/>
  <c r="AI187" i="2" s="1"/>
  <c r="AF187" i="2"/>
  <c r="AG187" i="2" s="1"/>
  <c r="AD187" i="2"/>
  <c r="AE187" i="2" s="1"/>
  <c r="AB187" i="2"/>
  <c r="AC187" i="2" s="1"/>
  <c r="Z187" i="2"/>
  <c r="AA187" i="2" s="1"/>
  <c r="X187" i="2"/>
  <c r="Y187" i="2" s="1"/>
  <c r="V187" i="2"/>
  <c r="W187" i="2" s="1"/>
  <c r="T187" i="2"/>
  <c r="U187" i="2" s="1"/>
  <c r="R187" i="2"/>
  <c r="S187" i="2" s="1"/>
  <c r="P187" i="2"/>
  <c r="Q187" i="2" s="1"/>
  <c r="N187" i="2"/>
  <c r="O187" i="2" s="1"/>
  <c r="L187" i="2"/>
  <c r="AJ186" i="2"/>
  <c r="AK186" i="2" s="1"/>
  <c r="AH186" i="2"/>
  <c r="AI186" i="2" s="1"/>
  <c r="AF186" i="2"/>
  <c r="AG186" i="2" s="1"/>
  <c r="AD186" i="2"/>
  <c r="AE186" i="2" s="1"/>
  <c r="AB186" i="2"/>
  <c r="AC186" i="2" s="1"/>
  <c r="Z186" i="2"/>
  <c r="AA186" i="2" s="1"/>
  <c r="X186" i="2"/>
  <c r="Y186" i="2" s="1"/>
  <c r="V186" i="2"/>
  <c r="W186" i="2" s="1"/>
  <c r="T186" i="2"/>
  <c r="U186" i="2" s="1"/>
  <c r="R186" i="2"/>
  <c r="S186" i="2" s="1"/>
  <c r="P186" i="2"/>
  <c r="Q186" i="2" s="1"/>
  <c r="N186" i="2"/>
  <c r="O186" i="2" s="1"/>
  <c r="L186" i="2"/>
  <c r="AJ185" i="2"/>
  <c r="AK185" i="2" s="1"/>
  <c r="AH185" i="2"/>
  <c r="AI185" i="2" s="1"/>
  <c r="AF185" i="2"/>
  <c r="AG185" i="2" s="1"/>
  <c r="AD185" i="2"/>
  <c r="AE185" i="2" s="1"/>
  <c r="AB185" i="2"/>
  <c r="AC185" i="2" s="1"/>
  <c r="Z185" i="2"/>
  <c r="AA185" i="2" s="1"/>
  <c r="X185" i="2"/>
  <c r="Y185" i="2" s="1"/>
  <c r="V185" i="2"/>
  <c r="W185" i="2" s="1"/>
  <c r="T185" i="2"/>
  <c r="U185" i="2" s="1"/>
  <c r="R185" i="2"/>
  <c r="S185" i="2" s="1"/>
  <c r="P185" i="2"/>
  <c r="Q185" i="2" s="1"/>
  <c r="N185" i="2"/>
  <c r="O185" i="2" s="1"/>
  <c r="L185" i="2"/>
  <c r="AJ184" i="2"/>
  <c r="AK184" i="2" s="1"/>
  <c r="AH184" i="2"/>
  <c r="AI184" i="2" s="1"/>
  <c r="AF184" i="2"/>
  <c r="AG184" i="2" s="1"/>
  <c r="AD184" i="2"/>
  <c r="AE184" i="2" s="1"/>
  <c r="AB184" i="2"/>
  <c r="AC184" i="2" s="1"/>
  <c r="Z184" i="2"/>
  <c r="AA184" i="2" s="1"/>
  <c r="X184" i="2"/>
  <c r="Y184" i="2" s="1"/>
  <c r="V184" i="2"/>
  <c r="W184" i="2" s="1"/>
  <c r="T184" i="2"/>
  <c r="U184" i="2" s="1"/>
  <c r="R184" i="2"/>
  <c r="S184" i="2" s="1"/>
  <c r="P184" i="2"/>
  <c r="Q184" i="2" s="1"/>
  <c r="N184" i="2"/>
  <c r="O184" i="2" s="1"/>
  <c r="L184" i="2"/>
  <c r="AJ183" i="2"/>
  <c r="AK183" i="2" s="1"/>
  <c r="AH183" i="2"/>
  <c r="AI183" i="2" s="1"/>
  <c r="AF183" i="2"/>
  <c r="AG183" i="2" s="1"/>
  <c r="AD183" i="2"/>
  <c r="AE183" i="2" s="1"/>
  <c r="AB183" i="2"/>
  <c r="AC183" i="2" s="1"/>
  <c r="Z183" i="2"/>
  <c r="AA183" i="2" s="1"/>
  <c r="X183" i="2"/>
  <c r="Y183" i="2" s="1"/>
  <c r="V183" i="2"/>
  <c r="W183" i="2" s="1"/>
  <c r="T183" i="2"/>
  <c r="U183" i="2" s="1"/>
  <c r="R183" i="2"/>
  <c r="S183" i="2" s="1"/>
  <c r="P183" i="2"/>
  <c r="Q183" i="2" s="1"/>
  <c r="N183" i="2"/>
  <c r="O183" i="2" s="1"/>
  <c r="L183" i="2"/>
  <c r="AJ182" i="2"/>
  <c r="AK182" i="2" s="1"/>
  <c r="AH182" i="2"/>
  <c r="AI182" i="2" s="1"/>
  <c r="AF182" i="2"/>
  <c r="AG182" i="2" s="1"/>
  <c r="AD182" i="2"/>
  <c r="AE182" i="2" s="1"/>
  <c r="AB182" i="2"/>
  <c r="AC182" i="2" s="1"/>
  <c r="Z182" i="2"/>
  <c r="AA182" i="2" s="1"/>
  <c r="X182" i="2"/>
  <c r="Y182" i="2" s="1"/>
  <c r="V182" i="2"/>
  <c r="W182" i="2" s="1"/>
  <c r="T182" i="2"/>
  <c r="U182" i="2" s="1"/>
  <c r="R182" i="2"/>
  <c r="S182" i="2" s="1"/>
  <c r="P182" i="2"/>
  <c r="Q182" i="2" s="1"/>
  <c r="N182" i="2"/>
  <c r="O182" i="2" s="1"/>
  <c r="L182" i="2"/>
  <c r="AJ181" i="2"/>
  <c r="AK181" i="2" s="1"/>
  <c r="AH181" i="2"/>
  <c r="AI181" i="2" s="1"/>
  <c r="AF181" i="2"/>
  <c r="AG181" i="2" s="1"/>
  <c r="AD181" i="2"/>
  <c r="AE181" i="2" s="1"/>
  <c r="AB181" i="2"/>
  <c r="AC181" i="2" s="1"/>
  <c r="Z181" i="2"/>
  <c r="AA181" i="2" s="1"/>
  <c r="X181" i="2"/>
  <c r="Y181" i="2" s="1"/>
  <c r="V181" i="2"/>
  <c r="W181" i="2" s="1"/>
  <c r="T181" i="2"/>
  <c r="U181" i="2" s="1"/>
  <c r="R181" i="2"/>
  <c r="S181" i="2" s="1"/>
  <c r="P181" i="2"/>
  <c r="Q181" i="2" s="1"/>
  <c r="N181" i="2"/>
  <c r="O181" i="2" s="1"/>
  <c r="L181" i="2"/>
  <c r="M179" i="2"/>
  <c r="AB175" i="2"/>
  <c r="U175" i="2"/>
  <c r="AB173" i="2"/>
  <c r="AB172" i="2"/>
  <c r="AC172" i="2" s="1"/>
  <c r="U172" i="2"/>
  <c r="L172" i="2"/>
  <c r="AB170" i="2"/>
  <c r="AC170" i="2" s="1"/>
  <c r="U170" i="2"/>
  <c r="L170" i="2"/>
  <c r="AB169" i="2"/>
  <c r="AC169" i="2" s="1"/>
  <c r="U169" i="2"/>
  <c r="L169" i="2"/>
  <c r="AB168" i="2"/>
  <c r="AC168" i="2" s="1"/>
  <c r="U168" i="2"/>
  <c r="L168" i="2"/>
  <c r="AB167" i="2"/>
  <c r="K167" i="2"/>
  <c r="L167" i="2" s="1"/>
  <c r="U166" i="2"/>
  <c r="AL166" i="2" s="1"/>
  <c r="L166" i="2"/>
  <c r="U165" i="2"/>
  <c r="AL165" i="2" s="1"/>
  <c r="L165" i="2"/>
  <c r="K164" i="2"/>
  <c r="L164" i="2" s="1"/>
  <c r="K163" i="2"/>
  <c r="U163" i="2" s="1"/>
  <c r="AL163" i="2" s="1"/>
  <c r="K162" i="2"/>
  <c r="U162" i="2" s="1"/>
  <c r="AL162" i="2" s="1"/>
  <c r="K161" i="2"/>
  <c r="U161" i="2" s="1"/>
  <c r="AL161" i="2" s="1"/>
  <c r="K160" i="2"/>
  <c r="L160" i="2" s="1"/>
  <c r="K159" i="2"/>
  <c r="U159" i="2" s="1"/>
  <c r="AL159" i="2" s="1"/>
  <c r="K158" i="2"/>
  <c r="L158" i="2" s="1"/>
  <c r="K157" i="2"/>
  <c r="U157" i="2" s="1"/>
  <c r="AL157" i="2" s="1"/>
  <c r="K156" i="2"/>
  <c r="L156" i="2" s="1"/>
  <c r="K155" i="2"/>
  <c r="U155" i="2" s="1"/>
  <c r="AL155" i="2" s="1"/>
  <c r="U154" i="2"/>
  <c r="AL154" i="2" s="1"/>
  <c r="L154" i="2"/>
  <c r="U153" i="2"/>
  <c r="AL153" i="2" s="1"/>
  <c r="L153" i="2"/>
  <c r="U152" i="2"/>
  <c r="AL152" i="2" s="1"/>
  <c r="L152" i="2"/>
  <c r="U151" i="2"/>
  <c r="AL151" i="2" s="1"/>
  <c r="L151" i="2"/>
  <c r="K150" i="2"/>
  <c r="U150" i="2" s="1"/>
  <c r="AL150" i="2" s="1"/>
  <c r="U149" i="2"/>
  <c r="AL149" i="2" s="1"/>
  <c r="L149" i="2"/>
  <c r="U148" i="2"/>
  <c r="AL148" i="2" s="1"/>
  <c r="L148" i="2"/>
  <c r="U147" i="2"/>
  <c r="AL147" i="2" s="1"/>
  <c r="M145" i="2"/>
  <c r="Q142" i="2"/>
  <c r="AL142" i="2" s="1"/>
  <c r="AF139" i="2"/>
  <c r="AG139" i="2" s="1"/>
  <c r="AC139" i="2"/>
  <c r="U139" i="2"/>
  <c r="L139" i="2"/>
  <c r="AC138" i="2"/>
  <c r="U138" i="2"/>
  <c r="L138" i="2"/>
  <c r="AC137" i="2"/>
  <c r="U137" i="2"/>
  <c r="L137" i="2"/>
  <c r="AC136" i="2"/>
  <c r="U136" i="2"/>
  <c r="L136" i="2"/>
  <c r="AC135" i="2"/>
  <c r="U135" i="2"/>
  <c r="L135" i="2"/>
  <c r="AC134" i="2"/>
  <c r="U134" i="2"/>
  <c r="L134" i="2"/>
  <c r="AC133" i="2"/>
  <c r="U133" i="2"/>
  <c r="L133" i="2"/>
  <c r="K132" i="2"/>
  <c r="U132" i="2" s="1"/>
  <c r="K131" i="2"/>
  <c r="U131" i="2" s="1"/>
  <c r="AC130" i="2"/>
  <c r="U130" i="2"/>
  <c r="L130" i="2"/>
  <c r="AC129" i="2"/>
  <c r="U129" i="2"/>
  <c r="L129" i="2"/>
  <c r="AC128" i="2"/>
  <c r="U128" i="2"/>
  <c r="L128" i="2"/>
  <c r="AC127" i="2"/>
  <c r="U127" i="2"/>
  <c r="L127" i="2"/>
  <c r="AC126" i="2"/>
  <c r="U126" i="2"/>
  <c r="L126" i="2"/>
  <c r="K125" i="2"/>
  <c r="L125" i="2" s="1"/>
  <c r="K124" i="2"/>
  <c r="AC124" i="2" s="1"/>
  <c r="K123" i="2"/>
  <c r="U123" i="2" s="1"/>
  <c r="K122" i="2"/>
  <c r="U122" i="2" s="1"/>
  <c r="K121" i="2"/>
  <c r="U121" i="2" s="1"/>
  <c r="K120" i="2"/>
  <c r="L120" i="2" s="1"/>
  <c r="K119" i="2"/>
  <c r="U119" i="2" s="1"/>
  <c r="AC118" i="2"/>
  <c r="AC117" i="2"/>
  <c r="U117" i="2"/>
  <c r="L117" i="2"/>
  <c r="AC116" i="2"/>
  <c r="U116" i="2"/>
  <c r="L116" i="2"/>
  <c r="AC115" i="2"/>
  <c r="U115" i="2"/>
  <c r="L115" i="2"/>
  <c r="AC114" i="2"/>
  <c r="U114" i="2"/>
  <c r="L114" i="2"/>
  <c r="AC113" i="2"/>
  <c r="U113" i="2"/>
  <c r="L113" i="2"/>
  <c r="AC112" i="2"/>
  <c r="U112" i="2"/>
  <c r="L112" i="2"/>
  <c r="AC111" i="2"/>
  <c r="U111" i="2"/>
  <c r="L111" i="2"/>
  <c r="AC110" i="2"/>
  <c r="U110" i="2"/>
  <c r="L110" i="2"/>
  <c r="K109" i="2"/>
  <c r="L109" i="2" s="1"/>
  <c r="K108" i="2"/>
  <c r="AC108" i="2" s="1"/>
  <c r="M106" i="2"/>
  <c r="K101" i="2"/>
  <c r="AC101" i="2" s="1"/>
  <c r="K100" i="2"/>
  <c r="U100" i="2" s="1"/>
  <c r="AC99" i="2"/>
  <c r="AC97" i="2"/>
  <c r="U97" i="2"/>
  <c r="L97" i="2"/>
  <c r="AC96" i="2"/>
  <c r="U96" i="2"/>
  <c r="L96" i="2"/>
  <c r="AC95" i="2"/>
  <c r="U95" i="2"/>
  <c r="L95" i="2"/>
  <c r="AC94" i="2"/>
  <c r="U94" i="2"/>
  <c r="L94" i="2"/>
  <c r="AC93" i="2"/>
  <c r="U93" i="2"/>
  <c r="L93" i="2"/>
  <c r="AC92" i="2"/>
  <c r="U92" i="2"/>
  <c r="L92" i="2"/>
  <c r="AD91" i="2"/>
  <c r="AE91" i="2" s="1"/>
  <c r="AC91" i="2"/>
  <c r="U91" i="2"/>
  <c r="L91" i="2"/>
  <c r="AD90" i="2"/>
  <c r="AE90" i="2" s="1"/>
  <c r="AC90" i="2"/>
  <c r="U90" i="2"/>
  <c r="L90" i="2"/>
  <c r="K89" i="2"/>
  <c r="L89" i="2" s="1"/>
  <c r="K88" i="2"/>
  <c r="U88" i="2" s="1"/>
  <c r="K87" i="2"/>
  <c r="AC87" i="2" s="1"/>
  <c r="K86" i="2"/>
  <c r="L86" i="2" s="1"/>
  <c r="K85" i="2"/>
  <c r="AC85" i="2" s="1"/>
  <c r="K84" i="2"/>
  <c r="U84" i="2" s="1"/>
  <c r="K83" i="2"/>
  <c r="AC83" i="2" s="1"/>
  <c r="K82" i="2"/>
  <c r="U82" i="2" s="1"/>
  <c r="K81" i="2"/>
  <c r="L81" i="2" s="1"/>
  <c r="K80" i="2"/>
  <c r="U80" i="2" s="1"/>
  <c r="K79" i="2"/>
  <c r="AC79" i="2" s="1"/>
  <c r="K78" i="2"/>
  <c r="U78" i="2" s="1"/>
  <c r="K77" i="2"/>
  <c r="AC77" i="2" s="1"/>
  <c r="K76" i="2"/>
  <c r="U76" i="2" s="1"/>
  <c r="K75" i="2"/>
  <c r="U75" i="2" s="1"/>
  <c r="K74" i="2"/>
  <c r="U74" i="2" s="1"/>
  <c r="K73" i="2"/>
  <c r="L73" i="2" s="1"/>
  <c r="K72" i="2"/>
  <c r="U72" i="2" s="1"/>
  <c r="K71" i="2"/>
  <c r="AC71" i="2" s="1"/>
  <c r="K70" i="2"/>
  <c r="AC70" i="2" s="1"/>
  <c r="K69" i="2"/>
  <c r="AC69" i="2" s="1"/>
  <c r="K68" i="2"/>
  <c r="U68" i="2" s="1"/>
  <c r="K67" i="2"/>
  <c r="AC67" i="2" s="1"/>
  <c r="K66" i="2"/>
  <c r="U66" i="2" s="1"/>
  <c r="K65" i="2"/>
  <c r="L65" i="2" s="1"/>
  <c r="K64" i="2"/>
  <c r="U64" i="2" s="1"/>
  <c r="K59" i="2"/>
  <c r="U59" i="2" s="1"/>
  <c r="AC58" i="2"/>
  <c r="U58" i="2"/>
  <c r="L58" i="2"/>
  <c r="K57" i="2"/>
  <c r="AC57" i="2" s="1"/>
  <c r="L56" i="2"/>
  <c r="K55" i="2"/>
  <c r="AC55" i="2" s="1"/>
  <c r="K54" i="2"/>
  <c r="U54" i="2" s="1"/>
  <c r="K53" i="2"/>
  <c r="L53" i="2" s="1"/>
  <c r="AC52" i="2"/>
  <c r="U52" i="2"/>
  <c r="L52" i="2"/>
  <c r="K51" i="2"/>
  <c r="U51" i="2" s="1"/>
  <c r="K50" i="2"/>
  <c r="U50" i="2" s="1"/>
  <c r="K49" i="2"/>
  <c r="AC49" i="2" s="1"/>
  <c r="K48" i="2"/>
  <c r="L48" i="2" s="1"/>
  <c r="K47" i="2"/>
  <c r="L47" i="2" s="1"/>
  <c r="K46" i="2"/>
  <c r="AC46" i="2" s="1"/>
  <c r="K45" i="2"/>
  <c r="AC45" i="2" s="1"/>
  <c r="K44" i="2"/>
  <c r="AC44" i="2" s="1"/>
  <c r="K43" i="2"/>
  <c r="U43" i="2" s="1"/>
  <c r="K42" i="2"/>
  <c r="U42" i="2" s="1"/>
  <c r="K41" i="2"/>
  <c r="AC41" i="2" s="1"/>
  <c r="K40" i="2"/>
  <c r="L40" i="2" s="1"/>
  <c r="K39" i="2"/>
  <c r="AC39" i="2" s="1"/>
  <c r="K38" i="2"/>
  <c r="AC38" i="2" s="1"/>
  <c r="K37" i="2"/>
  <c r="L37" i="2" s="1"/>
  <c r="K36" i="2"/>
  <c r="AC36" i="2" s="1"/>
  <c r="K35" i="2"/>
  <c r="U35" i="2" s="1"/>
  <c r="K34" i="2"/>
  <c r="U34" i="2" s="1"/>
  <c r="K33" i="2"/>
  <c r="AC33" i="2" s="1"/>
  <c r="K32" i="2"/>
  <c r="L32" i="2" s="1"/>
  <c r="K31" i="2"/>
  <c r="AC31" i="2" s="1"/>
  <c r="K30" i="2"/>
  <c r="AC30" i="2" s="1"/>
  <c r="K29" i="2"/>
  <c r="U29" i="2" s="1"/>
  <c r="K28" i="2"/>
  <c r="AC28" i="2" s="1"/>
  <c r="K27" i="2"/>
  <c r="AC27" i="2" s="1"/>
  <c r="K26" i="2"/>
  <c r="U26" i="2" s="1"/>
  <c r="K25" i="2"/>
  <c r="AC25" i="2" s="1"/>
  <c r="K24" i="2"/>
  <c r="L24" i="2" s="1"/>
  <c r="AC23" i="2"/>
  <c r="U23" i="2"/>
  <c r="L23" i="2"/>
  <c r="K22" i="2"/>
  <c r="U22" i="2" s="1"/>
  <c r="K21" i="2"/>
  <c r="U21" i="2" s="1"/>
  <c r="K20" i="2"/>
  <c r="AC20" i="2" s="1"/>
  <c r="K19" i="2"/>
  <c r="AC19" i="2" s="1"/>
  <c r="AB18" i="2"/>
  <c r="AC18" i="2" s="1"/>
  <c r="T18" i="2"/>
  <c r="U18" i="2" s="1"/>
  <c r="L18" i="2"/>
  <c r="K17" i="2"/>
  <c r="AC17" i="2" s="1"/>
  <c r="K16" i="2"/>
  <c r="AC16" i="2" s="1"/>
  <c r="K15" i="2"/>
  <c r="L15" i="2" s="1"/>
  <c r="M12" i="2"/>
  <c r="L605" i="2" l="1"/>
  <c r="L591" i="2"/>
  <c r="L578" i="2"/>
  <c r="L475" i="2"/>
  <c r="L474" i="2" s="1"/>
  <c r="L520" i="2"/>
  <c r="L341" i="2"/>
  <c r="L338" i="2" s="1"/>
  <c r="L287" i="2"/>
  <c r="L304" i="2"/>
  <c r="AL276" i="2"/>
  <c r="AL427" i="2"/>
  <c r="M178" i="2"/>
  <c r="AL218" i="2"/>
  <c r="AK188" i="2"/>
  <c r="M570" i="2"/>
  <c r="AL428" i="2"/>
  <c r="AL302" i="2"/>
  <c r="AC37" i="2"/>
  <c r="U37" i="2"/>
  <c r="AC74" i="2"/>
  <c r="AL74" i="2" s="1"/>
  <c r="AC125" i="2"/>
  <c r="AL392" i="2"/>
  <c r="L214" i="2"/>
  <c r="W454" i="2"/>
  <c r="O460" i="2"/>
  <c r="L70" i="2"/>
  <c r="U156" i="2"/>
  <c r="AL156" i="2" s="1"/>
  <c r="O271" i="2"/>
  <c r="U24" i="2"/>
  <c r="U19" i="2"/>
  <c r="AL19" i="2" s="1"/>
  <c r="U125" i="2"/>
  <c r="AC173" i="2"/>
  <c r="AL208" i="2"/>
  <c r="AL393" i="2"/>
  <c r="L49" i="2"/>
  <c r="L54" i="2"/>
  <c r="U70" i="2"/>
  <c r="AL70" i="2" s="1"/>
  <c r="L175" i="2"/>
  <c r="L174" i="2" s="1"/>
  <c r="AL281" i="2"/>
  <c r="L39" i="2"/>
  <c r="U534" i="2"/>
  <c r="L82" i="2"/>
  <c r="AC29" i="2"/>
  <c r="AL29" i="2" s="1"/>
  <c r="U39" i="2"/>
  <c r="AL39" i="2" s="1"/>
  <c r="AL52" i="2"/>
  <c r="L66" i="2"/>
  <c r="AC82" i="2"/>
  <c r="AL82" i="2" s="1"/>
  <c r="L162" i="2"/>
  <c r="AC35" i="2"/>
  <c r="AL35" i="2" s="1"/>
  <c r="AC66" i="2"/>
  <c r="AL66" i="2" s="1"/>
  <c r="AL94" i="2"/>
  <c r="AL112" i="2"/>
  <c r="AL247" i="2"/>
  <c r="O468" i="2"/>
  <c r="Q468" i="2"/>
  <c r="AE508" i="2"/>
  <c r="L84" i="2"/>
  <c r="U158" i="2"/>
  <c r="AL158" i="2" s="1"/>
  <c r="L351" i="2"/>
  <c r="S468" i="2"/>
  <c r="AC84" i="2"/>
  <c r="AL84" i="2" s="1"/>
  <c r="O327" i="2"/>
  <c r="AK468" i="2"/>
  <c r="M488" i="2"/>
  <c r="AC64" i="2"/>
  <c r="AL64" i="2" s="1"/>
  <c r="L74" i="2"/>
  <c r="W468" i="2"/>
  <c r="M559" i="2"/>
  <c r="L88" i="2"/>
  <c r="L159" i="2"/>
  <c r="AL438" i="2"/>
  <c r="AK534" i="2"/>
  <c r="AI193" i="2"/>
  <c r="AI271" i="2"/>
  <c r="AL343" i="2"/>
  <c r="AG556" i="2"/>
  <c r="AL23" i="2"/>
  <c r="L51" i="2"/>
  <c r="AC54" i="2"/>
  <c r="AL54" i="2" s="1"/>
  <c r="AL97" i="2"/>
  <c r="W289" i="2"/>
  <c r="AL289" i="2" s="1"/>
  <c r="AC468" i="2"/>
  <c r="AC51" i="2"/>
  <c r="AL51" i="2" s="1"/>
  <c r="AL92" i="2"/>
  <c r="AL137" i="2"/>
  <c r="AL206" i="2"/>
  <c r="AL221" i="2"/>
  <c r="AL270" i="2"/>
  <c r="AL371" i="2"/>
  <c r="L19" i="2"/>
  <c r="AL116" i="2"/>
  <c r="AL135" i="2"/>
  <c r="L142" i="2"/>
  <c r="L140" i="2" s="1"/>
  <c r="U167" i="2"/>
  <c r="AL169" i="2"/>
  <c r="O188" i="2"/>
  <c r="AC188" i="2"/>
  <c r="L246" i="2"/>
  <c r="AL400" i="2"/>
  <c r="L16" i="2"/>
  <c r="AL93" i="2"/>
  <c r="AL126" i="2"/>
  <c r="AL373" i="2"/>
  <c r="Q534" i="2"/>
  <c r="AL18" i="2"/>
  <c r="O193" i="2"/>
  <c r="S432" i="2"/>
  <c r="M456" i="2"/>
  <c r="L22" i="2"/>
  <c r="U47" i="2"/>
  <c r="AC59" i="2"/>
  <c r="AL59" i="2" s="1"/>
  <c r="L43" i="2"/>
  <c r="U56" i="2"/>
  <c r="L68" i="2"/>
  <c r="U109" i="2"/>
  <c r="L161" i="2"/>
  <c r="AC167" i="2"/>
  <c r="S188" i="2"/>
  <c r="AE188" i="2"/>
  <c r="AC193" i="2"/>
  <c r="L430" i="2"/>
  <c r="L429" i="2" s="1"/>
  <c r="AE432" i="2"/>
  <c r="S460" i="2"/>
  <c r="W508" i="2"/>
  <c r="Q556" i="2"/>
  <c r="M11" i="2"/>
  <c r="AC43" i="2"/>
  <c r="AL43" i="2" s="1"/>
  <c r="AC56" i="2"/>
  <c r="AC68" i="2"/>
  <c r="AL68" i="2" s="1"/>
  <c r="AL90" i="2"/>
  <c r="AC109" i="2"/>
  <c r="AL129" i="2"/>
  <c r="AL138" i="2"/>
  <c r="L150" i="2"/>
  <c r="U188" i="2"/>
  <c r="O430" i="2"/>
  <c r="S556" i="2"/>
  <c r="U81" i="2"/>
  <c r="AC121" i="2"/>
  <c r="AL121" i="2" s="1"/>
  <c r="U164" i="2"/>
  <c r="AL164" i="2" s="1"/>
  <c r="U53" i="2"/>
  <c r="U73" i="2"/>
  <c r="L78" i="2"/>
  <c r="L100" i="2"/>
  <c r="S193" i="2"/>
  <c r="L377" i="2"/>
  <c r="L403" i="2"/>
  <c r="S430" i="2"/>
  <c r="L508" i="2"/>
  <c r="L502" i="2" s="1"/>
  <c r="O518" i="2"/>
  <c r="S518" i="2" s="1"/>
  <c r="W518" i="2" s="1"/>
  <c r="AA518" i="2" s="1"/>
  <c r="AE518" i="2" s="1"/>
  <c r="AI518" i="2" s="1"/>
  <c r="AL590" i="2"/>
  <c r="AC22" i="2"/>
  <c r="AL22" i="2" s="1"/>
  <c r="AC78" i="2"/>
  <c r="AL78" i="2" s="1"/>
  <c r="AC100" i="2"/>
  <c r="AL100" i="2" s="1"/>
  <c r="AL110" i="2"/>
  <c r="AC175" i="2"/>
  <c r="AL175" i="2" s="1"/>
  <c r="AL216" i="2"/>
  <c r="AL262" i="2"/>
  <c r="AK327" i="2"/>
  <c r="AL397" i="2"/>
  <c r="AL425" i="2"/>
  <c r="AE430" i="2"/>
  <c r="M359" i="2"/>
  <c r="O458" i="2"/>
  <c r="Q460" i="2"/>
  <c r="O508" i="2"/>
  <c r="AC508" i="2"/>
  <c r="AG534" i="2"/>
  <c r="AL58" i="2"/>
  <c r="AL113" i="2"/>
  <c r="AL130" i="2"/>
  <c r="Y188" i="2"/>
  <c r="AL223" i="2"/>
  <c r="AL254" i="2"/>
  <c r="AE271" i="2"/>
  <c r="AL394" i="2"/>
  <c r="AI430" i="2"/>
  <c r="AL111" i="2"/>
  <c r="L121" i="2"/>
  <c r="AL128" i="2"/>
  <c r="AL182" i="2"/>
  <c r="L193" i="2"/>
  <c r="L192" i="2" s="1"/>
  <c r="L190" i="2" s="1"/>
  <c r="AL263" i="2"/>
  <c r="O432" i="2"/>
  <c r="AL587" i="2"/>
  <c r="L600" i="2"/>
  <c r="L596" i="2" s="1"/>
  <c r="AL610" i="2"/>
  <c r="AL185" i="2"/>
  <c r="AL181" i="2"/>
  <c r="AL134" i="2"/>
  <c r="L27" i="2"/>
  <c r="AC119" i="2"/>
  <c r="AL119" i="2" s="1"/>
  <c r="U15" i="2"/>
  <c r="L20" i="2"/>
  <c r="U27" i="2"/>
  <c r="AL27" i="2" s="1"/>
  <c r="L31" i="2"/>
  <c r="L41" i="2"/>
  <c r="U45" i="2"/>
  <c r="AL45" i="2" s="1"/>
  <c r="U48" i="2"/>
  <c r="AC76" i="2"/>
  <c r="AL76" i="2" s="1"/>
  <c r="L80" i="2"/>
  <c r="AC86" i="2"/>
  <c r="AC123" i="2"/>
  <c r="AL123" i="2" s="1"/>
  <c r="AC132" i="2"/>
  <c r="AL132" i="2" s="1"/>
  <c r="U160" i="2"/>
  <c r="AL160" i="2" s="1"/>
  <c r="AL168" i="2"/>
  <c r="Y258" i="2"/>
  <c r="W258" i="2"/>
  <c r="S258" i="2"/>
  <c r="L119" i="2"/>
  <c r="AI188" i="2"/>
  <c r="L45" i="2"/>
  <c r="AC72" i="2"/>
  <c r="AL72" i="2" s="1"/>
  <c r="L76" i="2"/>
  <c r="U86" i="2"/>
  <c r="AL170" i="2"/>
  <c r="L204" i="2"/>
  <c r="L203" i="2" s="1"/>
  <c r="AC15" i="2"/>
  <c r="U31" i="2"/>
  <c r="AL31" i="2" s="1"/>
  <c r="L35" i="2"/>
  <c r="L59" i="2"/>
  <c r="AC80" i="2"/>
  <c r="AL80" i="2" s="1"/>
  <c r="AL95" i="2"/>
  <c r="AL114" i="2"/>
  <c r="U120" i="2"/>
  <c r="L155" i="2"/>
  <c r="L163" i="2"/>
  <c r="W193" i="2"/>
  <c r="AL240" i="2"/>
  <c r="AL249" i="2"/>
  <c r="L260" i="2"/>
  <c r="L17" i="2"/>
  <c r="L33" i="2"/>
  <c r="AC47" i="2"/>
  <c r="L72" i="2"/>
  <c r="U89" i="2"/>
  <c r="L226" i="2"/>
  <c r="L224" i="2" s="1"/>
  <c r="L123" i="2"/>
  <c r="L132" i="2"/>
  <c r="L157" i="2"/>
  <c r="AL117" i="2"/>
  <c r="AL127" i="2"/>
  <c r="AL133" i="2"/>
  <c r="AL183" i="2"/>
  <c r="AK193" i="2"/>
  <c r="AA193" i="2"/>
  <c r="U193" i="2"/>
  <c r="Y193" i="2"/>
  <c r="AL238" i="2"/>
  <c r="AK337" i="2"/>
  <c r="AI337" i="2"/>
  <c r="AG337" i="2"/>
  <c r="L337" i="2"/>
  <c r="L336" i="2" s="1"/>
  <c r="L335" i="2" s="1"/>
  <c r="AL295" i="2"/>
  <c r="AL172" i="2"/>
  <c r="AL184" i="2"/>
  <c r="U16" i="2"/>
  <c r="AL16" i="2" s="1"/>
  <c r="L25" i="2"/>
  <c r="L29" i="2"/>
  <c r="U32" i="2"/>
  <c r="L64" i="2"/>
  <c r="AC88" i="2"/>
  <c r="AL88" i="2" s="1"/>
  <c r="AL91" i="2"/>
  <c r="AL96" i="2"/>
  <c r="AL115" i="2"/>
  <c r="AL136" i="2"/>
  <c r="AL139" i="2"/>
  <c r="AL186" i="2"/>
  <c r="AL194" i="2"/>
  <c r="L300" i="2"/>
  <c r="L294" i="2" s="1"/>
  <c r="Y300" i="2"/>
  <c r="S300" i="2"/>
  <c r="U40" i="2"/>
  <c r="U65" i="2"/>
  <c r="AL500" i="2"/>
  <c r="AL187" i="2"/>
  <c r="AA188" i="2"/>
  <c r="AG193" i="2"/>
  <c r="AL222" i="2"/>
  <c r="L228" i="2"/>
  <c r="S271" i="2"/>
  <c r="AL279" i="2"/>
  <c r="W327" i="2"/>
  <c r="AL423" i="2"/>
  <c r="L432" i="2"/>
  <c r="L431" i="2" s="1"/>
  <c r="AA442" i="2"/>
  <c r="Q454" i="2"/>
  <c r="AK508" i="2"/>
  <c r="AL525" i="2"/>
  <c r="AL533" i="2"/>
  <c r="AG573" i="2"/>
  <c r="AI573" i="2"/>
  <c r="W573" i="2"/>
  <c r="O258" i="2"/>
  <c r="AL277" i="2"/>
  <c r="AL342" i="2"/>
  <c r="AL390" i="2"/>
  <c r="AL412" i="2"/>
  <c r="AL415" i="2"/>
  <c r="AL420" i="2"/>
  <c r="AL440" i="2"/>
  <c r="AA454" i="2"/>
  <c r="AE460" i="2"/>
  <c r="AL509" i="2"/>
  <c r="AL552" i="2"/>
  <c r="AE556" i="2"/>
  <c r="O573" i="2"/>
  <c r="AL243" i="2"/>
  <c r="S411" i="2"/>
  <c r="AL413" i="2"/>
  <c r="AI454" i="2"/>
  <c r="W460" i="2"/>
  <c r="AG460" i="2"/>
  <c r="AL531" i="2"/>
  <c r="AL540" i="2"/>
  <c r="O556" i="2"/>
  <c r="Y556" i="2"/>
  <c r="AI556" i="2"/>
  <c r="S573" i="2"/>
  <c r="W188" i="2"/>
  <c r="Q193" i="2"/>
  <c r="AL217" i="2"/>
  <c r="AL250" i="2"/>
  <c r="AL261" i="2"/>
  <c r="AL278" i="2"/>
  <c r="L286" i="2"/>
  <c r="L285" i="2" s="1"/>
  <c r="AL297" i="2"/>
  <c r="AL347" i="2"/>
  <c r="AA374" i="2"/>
  <c r="AL391" i="2"/>
  <c r="AL405" i="2"/>
  <c r="AG411" i="2"/>
  <c r="AL418" i="2"/>
  <c r="W430" i="2"/>
  <c r="AI432" i="2"/>
  <c r="AL450" i="2"/>
  <c r="AK458" i="2"/>
  <c r="AI468" i="2"/>
  <c r="U468" i="2"/>
  <c r="AE468" i="2"/>
  <c r="U508" i="2"/>
  <c r="AL554" i="2"/>
  <c r="L188" i="2"/>
  <c r="L180" i="2" s="1"/>
  <c r="L179" i="2" s="1"/>
  <c r="AG188" i="2"/>
  <c r="AL244" i="2"/>
  <c r="AA271" i="2"/>
  <c r="AL301" i="2"/>
  <c r="AL309" i="2"/>
  <c r="AL310" i="2"/>
  <c r="AE327" i="2"/>
  <c r="AL362" i="2"/>
  <c r="L384" i="2"/>
  <c r="L381" i="2" s="1"/>
  <c r="AL414" i="2"/>
  <c r="AL417" i="2"/>
  <c r="Y460" i="2"/>
  <c r="AI460" i="2"/>
  <c r="AI508" i="2"/>
  <c r="AL528" i="2"/>
  <c r="L529" i="2"/>
  <c r="AL549" i="2"/>
  <c r="AA556" i="2"/>
  <c r="AE558" i="2"/>
  <c r="Y558" i="2"/>
  <c r="L558" i="2"/>
  <c r="L557" i="2" s="1"/>
  <c r="AL586" i="2"/>
  <c r="M334" i="2"/>
  <c r="AL406" i="2"/>
  <c r="AL416" i="2"/>
  <c r="AL522" i="2"/>
  <c r="AL542" i="2"/>
  <c r="AL563" i="2"/>
  <c r="Q188" i="2"/>
  <c r="AE193" i="2"/>
  <c r="AL197" i="2"/>
  <c r="M202" i="2"/>
  <c r="AL207" i="2"/>
  <c r="AL255" i="2"/>
  <c r="AL266" i="2"/>
  <c r="L361" i="2"/>
  <c r="L360" i="2" s="1"/>
  <c r="AL426" i="2"/>
  <c r="W442" i="2"/>
  <c r="L454" i="2"/>
  <c r="L445" i="2" s="1"/>
  <c r="AA460" i="2"/>
  <c r="AL478" i="2"/>
  <c r="AL504" i="2"/>
  <c r="AL524" i="2"/>
  <c r="M577" i="2"/>
  <c r="M576" i="2" s="1"/>
  <c r="AL575" i="2"/>
  <c r="AL595" i="2"/>
  <c r="Y600" i="2"/>
  <c r="AL583" i="2"/>
  <c r="AC600" i="2"/>
  <c r="AL561" i="2"/>
  <c r="AL584" i="2"/>
  <c r="AL298" i="2"/>
  <c r="AG257" i="2"/>
  <c r="Q257" i="2"/>
  <c r="AE257" i="2"/>
  <c r="AC257" i="2"/>
  <c r="AA257" i="2"/>
  <c r="L257" i="2"/>
  <c r="AK257" i="2"/>
  <c r="U257" i="2"/>
  <c r="AL269" i="2"/>
  <c r="L21" i="2"/>
  <c r="AC24" i="2"/>
  <c r="L26" i="2"/>
  <c r="AC32" i="2"/>
  <c r="L34" i="2"/>
  <c r="AC40" i="2"/>
  <c r="L42" i="2"/>
  <c r="AC48" i="2"/>
  <c r="L50" i="2"/>
  <c r="AC53" i="2"/>
  <c r="L55" i="2"/>
  <c r="AC65" i="2"/>
  <c r="L67" i="2"/>
  <c r="AC73" i="2"/>
  <c r="L75" i="2"/>
  <c r="AC81" i="2"/>
  <c r="L83" i="2"/>
  <c r="AC89" i="2"/>
  <c r="L99" i="2"/>
  <c r="AC120" i="2"/>
  <c r="L122" i="2"/>
  <c r="L131" i="2"/>
  <c r="AL189" i="2"/>
  <c r="AL215" i="2"/>
  <c r="AL235" i="2"/>
  <c r="AL237" i="2"/>
  <c r="AL245" i="2"/>
  <c r="AL251" i="2"/>
  <c r="AL253" i="2"/>
  <c r="O257" i="2"/>
  <c r="AL326" i="2"/>
  <c r="AL422" i="2"/>
  <c r="U67" i="2"/>
  <c r="AL67" i="2" s="1"/>
  <c r="S257" i="2"/>
  <c r="U55" i="2"/>
  <c r="AL55" i="2" s="1"/>
  <c r="U83" i="2"/>
  <c r="AL83" i="2" s="1"/>
  <c r="U99" i="2"/>
  <c r="AL99" i="2" s="1"/>
  <c r="AC21" i="2"/>
  <c r="AL21" i="2" s="1"/>
  <c r="AC26" i="2"/>
  <c r="AL26" i="2" s="1"/>
  <c r="L28" i="2"/>
  <c r="AC34" i="2"/>
  <c r="AL34" i="2" s="1"/>
  <c r="L36" i="2"/>
  <c r="AC42" i="2"/>
  <c r="AL42" i="2" s="1"/>
  <c r="L44" i="2"/>
  <c r="AC50" i="2"/>
  <c r="AL50" i="2" s="1"/>
  <c r="L57" i="2"/>
  <c r="L69" i="2"/>
  <c r="AC75" i="2"/>
  <c r="AL75" i="2" s="1"/>
  <c r="L77" i="2"/>
  <c r="L85" i="2"/>
  <c r="L101" i="2"/>
  <c r="L108" i="2"/>
  <c r="AC122" i="2"/>
  <c r="AL122" i="2" s="1"/>
  <c r="L124" i="2"/>
  <c r="AC131" i="2"/>
  <c r="AL131" i="2" s="1"/>
  <c r="L173" i="2"/>
  <c r="L171" i="2" s="1"/>
  <c r="AC205" i="2"/>
  <c r="U205" i="2"/>
  <c r="AL212" i="2"/>
  <c r="AL241" i="2"/>
  <c r="W257" i="2"/>
  <c r="AL273" i="2"/>
  <c r="AI313" i="2"/>
  <c r="AA313" i="2"/>
  <c r="U313" i="2"/>
  <c r="L313" i="2"/>
  <c r="AL332" i="2"/>
  <c r="AL404" i="2"/>
  <c r="AL477" i="2"/>
  <c r="AL491" i="2"/>
  <c r="AL494" i="2"/>
  <c r="U28" i="2"/>
  <c r="AL28" i="2" s="1"/>
  <c r="U36" i="2"/>
  <c r="AL36" i="2" s="1"/>
  <c r="U44" i="2"/>
  <c r="AL44" i="2" s="1"/>
  <c r="U57" i="2"/>
  <c r="AL57" i="2" s="1"/>
  <c r="U69" i="2"/>
  <c r="AL69" i="2" s="1"/>
  <c r="U77" i="2"/>
  <c r="AL77" i="2" s="1"/>
  <c r="U85" i="2"/>
  <c r="AL85" i="2" s="1"/>
  <c r="U101" i="2"/>
  <c r="AL101" i="2" s="1"/>
  <c r="U108" i="2"/>
  <c r="AL108" i="2" s="1"/>
  <c r="U124" i="2"/>
  <c r="AL124" i="2" s="1"/>
  <c r="U173" i="2"/>
  <c r="AL195" i="2"/>
  <c r="Y257" i="2"/>
  <c r="AL268" i="2"/>
  <c r="AL275" i="2"/>
  <c r="AC280" i="2"/>
  <c r="U280" i="2"/>
  <c r="AL462" i="2"/>
  <c r="AL521" i="2"/>
  <c r="U17" i="2"/>
  <c r="AL17" i="2" s="1"/>
  <c r="U20" i="2"/>
  <c r="AL20" i="2" s="1"/>
  <c r="U25" i="2"/>
  <c r="AL25" i="2" s="1"/>
  <c r="L30" i="2"/>
  <c r="U33" i="2"/>
  <c r="AL33" i="2" s="1"/>
  <c r="L38" i="2"/>
  <c r="U41" i="2"/>
  <c r="AL41" i="2" s="1"/>
  <c r="L46" i="2"/>
  <c r="U49" i="2"/>
  <c r="AL49" i="2" s="1"/>
  <c r="L71" i="2"/>
  <c r="L79" i="2"/>
  <c r="L87" i="2"/>
  <c r="L118" i="2"/>
  <c r="AI257" i="2"/>
  <c r="L280" i="2"/>
  <c r="L274" i="2" s="1"/>
  <c r="L330" i="2"/>
  <c r="AL505" i="2"/>
  <c r="AL506" i="2"/>
  <c r="AL239" i="2"/>
  <c r="U30" i="2"/>
  <c r="AL30" i="2" s="1"/>
  <c r="U38" i="2"/>
  <c r="AL38" i="2" s="1"/>
  <c r="U46" i="2"/>
  <c r="AL46" i="2" s="1"/>
  <c r="U71" i="2"/>
  <c r="AL71" i="2" s="1"/>
  <c r="U79" i="2"/>
  <c r="AL79" i="2" s="1"/>
  <c r="U87" i="2"/>
  <c r="AL87" i="2" s="1"/>
  <c r="U118" i="2"/>
  <c r="AL118" i="2" s="1"/>
  <c r="AL252" i="2"/>
  <c r="AL272" i="2"/>
  <c r="AL296" i="2"/>
  <c r="AL196" i="2"/>
  <c r="AC220" i="2"/>
  <c r="U220" i="2"/>
  <c r="L220" i="2"/>
  <c r="L219" i="2" s="1"/>
  <c r="AL236" i="2"/>
  <c r="AL242" i="2"/>
  <c r="AL248" i="2"/>
  <c r="AG258" i="2"/>
  <c r="Q258" i="2"/>
  <c r="AE258" i="2"/>
  <c r="AC258" i="2"/>
  <c r="AA258" i="2"/>
  <c r="L258" i="2"/>
  <c r="AK258" i="2"/>
  <c r="U258" i="2"/>
  <c r="AL299" i="2"/>
  <c r="AL305" i="2"/>
  <c r="AL333" i="2"/>
  <c r="AL507" i="2"/>
  <c r="Q271" i="2"/>
  <c r="Y271" i="2"/>
  <c r="AG271" i="2"/>
  <c r="AL389" i="2"/>
  <c r="AL401" i="2"/>
  <c r="AL408" i="2"/>
  <c r="AL503" i="2"/>
  <c r="AL537" i="2"/>
  <c r="AL589" i="2"/>
  <c r="AL593" i="2"/>
  <c r="AL510" i="2"/>
  <c r="AL530" i="2"/>
  <c r="AL539" i="2"/>
  <c r="AL582" i="2"/>
  <c r="AL331" i="2"/>
  <c r="AL410" i="2"/>
  <c r="AL449" i="2"/>
  <c r="AL473" i="2"/>
  <c r="AL476" i="2"/>
  <c r="AL536" i="2"/>
  <c r="AL588" i="2"/>
  <c r="AL611" i="2"/>
  <c r="L271" i="2"/>
  <c r="L267" i="2" s="1"/>
  <c r="U271" i="2"/>
  <c r="AC271" i="2"/>
  <c r="AK271" i="2"/>
  <c r="AL407" i="2"/>
  <c r="AL419" i="2"/>
  <c r="AL424" i="2"/>
  <c r="AL470" i="2"/>
  <c r="AL480" i="2"/>
  <c r="AL523" i="2"/>
  <c r="AL541" i="2"/>
  <c r="L566" i="2"/>
  <c r="L559" i="2" s="1"/>
  <c r="AL569" i="2"/>
  <c r="AL585" i="2"/>
  <c r="AL516" i="2"/>
  <c r="AL538" i="2"/>
  <c r="M550" i="2"/>
  <c r="AL567" i="2"/>
  <c r="W271" i="2"/>
  <c r="AE337" i="2"/>
  <c r="AA337" i="2"/>
  <c r="Y337" i="2"/>
  <c r="U337" i="2"/>
  <c r="Q337" i="2"/>
  <c r="AE411" i="2"/>
  <c r="AC411" i="2"/>
  <c r="AA411" i="2"/>
  <c r="Y411" i="2"/>
  <c r="U411" i="2"/>
  <c r="AI411" i="2"/>
  <c r="L411" i="2"/>
  <c r="L409" i="2" s="1"/>
  <c r="AL421" i="2"/>
  <c r="AL447" i="2"/>
  <c r="AL511" i="2"/>
  <c r="AL535" i="2"/>
  <c r="AL592" i="2"/>
  <c r="Q430" i="2"/>
  <c r="AG430" i="2"/>
  <c r="Q432" i="2"/>
  <c r="AG432" i="2"/>
  <c r="Y442" i="2"/>
  <c r="Y454" i="2"/>
  <c r="W458" i="2"/>
  <c r="AE458" i="2"/>
  <c r="Q518" i="2"/>
  <c r="U518" i="2" s="1"/>
  <c r="AG518" i="2"/>
  <c r="AK518" i="2" s="1"/>
  <c r="S534" i="2"/>
  <c r="AI534" i="2"/>
  <c r="U558" i="2"/>
  <c r="U573" i="2"/>
  <c r="AK573" i="2"/>
  <c r="AA600" i="2"/>
  <c r="Q327" i="2"/>
  <c r="Y327" i="2"/>
  <c r="AG327" i="2"/>
  <c r="U430" i="2"/>
  <c r="AK430" i="2"/>
  <c r="U432" i="2"/>
  <c r="AK432" i="2"/>
  <c r="AC442" i="2"/>
  <c r="AC454" i="2"/>
  <c r="Q458" i="2"/>
  <c r="Y458" i="2"/>
  <c r="AG458" i="2"/>
  <c r="W534" i="2"/>
  <c r="Y573" i="2"/>
  <c r="O600" i="2"/>
  <c r="AE600" i="2"/>
  <c r="L374" i="2"/>
  <c r="L372" i="2" s="1"/>
  <c r="W432" i="2"/>
  <c r="L442" i="2"/>
  <c r="L441" i="2" s="1"/>
  <c r="AE442" i="2"/>
  <c r="AE454" i="2"/>
  <c r="L460" i="2"/>
  <c r="L459" i="2" s="1"/>
  <c r="U460" i="2"/>
  <c r="AC460" i="2"/>
  <c r="AK460" i="2"/>
  <c r="Y468" i="2"/>
  <c r="AG468" i="2"/>
  <c r="Q508" i="2"/>
  <c r="Y508" i="2"/>
  <c r="AG508" i="2"/>
  <c r="Y534" i="2"/>
  <c r="L556" i="2"/>
  <c r="L555" i="2" s="1"/>
  <c r="U556" i="2"/>
  <c r="AC556" i="2"/>
  <c r="AK556" i="2"/>
  <c r="AA573" i="2"/>
  <c r="Q600" i="2"/>
  <c r="AG600" i="2"/>
  <c r="L603" i="2"/>
  <c r="S327" i="2"/>
  <c r="AA327" i="2"/>
  <c r="AI327" i="2"/>
  <c r="U374" i="2"/>
  <c r="Y430" i="2"/>
  <c r="Y432" i="2"/>
  <c r="Q442" i="2"/>
  <c r="AG442" i="2"/>
  <c r="O454" i="2"/>
  <c r="AG454" i="2"/>
  <c r="S458" i="2"/>
  <c r="AA458" i="2"/>
  <c r="AI458" i="2"/>
  <c r="Y518" i="2"/>
  <c r="AA534" i="2"/>
  <c r="L573" i="2"/>
  <c r="L571" i="2" s="1"/>
  <c r="L570" i="2" s="1"/>
  <c r="AC573" i="2"/>
  <c r="S600" i="2"/>
  <c r="AI600" i="2"/>
  <c r="AA430" i="2"/>
  <c r="AA432" i="2"/>
  <c r="S442" i="2"/>
  <c r="AI442" i="2"/>
  <c r="AA468" i="2"/>
  <c r="S508" i="2"/>
  <c r="AA508" i="2"/>
  <c r="L534" i="2"/>
  <c r="L532" i="2" s="1"/>
  <c r="AC534" i="2"/>
  <c r="W556" i="2"/>
  <c r="AE573" i="2"/>
  <c r="U600" i="2"/>
  <c r="AK600" i="2"/>
  <c r="L327" i="2"/>
  <c r="L325" i="2" s="1"/>
  <c r="U327" i="2"/>
  <c r="AC327" i="2"/>
  <c r="U442" i="2"/>
  <c r="S454" i="2"/>
  <c r="L458" i="2"/>
  <c r="L457" i="2" s="1"/>
  <c r="U458" i="2"/>
  <c r="AC458" i="2"/>
  <c r="L518" i="2"/>
  <c r="L517" i="2" s="1"/>
  <c r="L514" i="2" s="1"/>
  <c r="O534" i="2"/>
  <c r="Q573" i="2"/>
  <c r="L602" i="2" l="1"/>
  <c r="L601" i="2" s="1"/>
  <c r="L577" i="2"/>
  <c r="AL24" i="2"/>
  <c r="L456" i="2"/>
  <c r="L519" i="2"/>
  <c r="L499" i="2"/>
  <c r="L488" i="2" s="1"/>
  <c r="L402" i="2"/>
  <c r="L376" i="2"/>
  <c r="L369" i="2"/>
  <c r="AL56" i="2"/>
  <c r="AL37" i="2"/>
  <c r="L350" i="2"/>
  <c r="L334" i="2" s="1"/>
  <c r="L329" i="2"/>
  <c r="L328" i="2" s="1"/>
  <c r="L324" i="2"/>
  <c r="L314" i="2" s="1"/>
  <c r="L303" i="2"/>
  <c r="AL32" i="2"/>
  <c r="L14" i="2"/>
  <c r="L213" i="2"/>
  <c r="L98" i="2"/>
  <c r="L63" i="2"/>
  <c r="AL125" i="2"/>
  <c r="AL167" i="2"/>
  <c r="AL109" i="2"/>
  <c r="M455" i="2"/>
  <c r="AL173" i="2"/>
  <c r="AL53" i="2"/>
  <c r="AL47" i="2"/>
  <c r="AL558" i="2"/>
  <c r="AL120" i="2"/>
  <c r="L550" i="2"/>
  <c r="AL81" i="2"/>
  <c r="AL300" i="2"/>
  <c r="L146" i="2"/>
  <c r="L145" i="2" s="1"/>
  <c r="L284" i="2"/>
  <c r="AL374" i="2"/>
  <c r="L234" i="2"/>
  <c r="AL468" i="2"/>
  <c r="AL73" i="2"/>
  <c r="AL40" i="2"/>
  <c r="AL65" i="2"/>
  <c r="AL188" i="2"/>
  <c r="AL205" i="2"/>
  <c r="AL89" i="2"/>
  <c r="M10" i="2"/>
  <c r="AL313" i="2"/>
  <c r="AL556" i="2"/>
  <c r="AL48" i="2"/>
  <c r="L178" i="2"/>
  <c r="AL193" i="2"/>
  <c r="AL15" i="2"/>
  <c r="AL460" i="2"/>
  <c r="AL411" i="2"/>
  <c r="AL271" i="2"/>
  <c r="AL430" i="2"/>
  <c r="AL258" i="2"/>
  <c r="AL86" i="2"/>
  <c r="AL432" i="2"/>
  <c r="AL508" i="2"/>
  <c r="AL337" i="2"/>
  <c r="AL327" i="2"/>
  <c r="L264" i="2"/>
  <c r="AL442" i="2"/>
  <c r="AL220" i="2"/>
  <c r="AL280" i="2"/>
  <c r="AL573" i="2"/>
  <c r="AL458" i="2"/>
  <c r="AL534" i="2"/>
  <c r="AL454" i="2"/>
  <c r="AL518" i="2"/>
  <c r="L107" i="2"/>
  <c r="L106" i="2" s="1"/>
  <c r="AL600" i="2"/>
  <c r="AL257" i="2"/>
  <c r="L576" i="2" l="1"/>
  <c r="L359" i="2"/>
  <c r="L12" i="2"/>
  <c r="L11" i="2" s="1"/>
  <c r="L233" i="2"/>
  <c r="L202" i="2" s="1"/>
  <c r="M9" i="2"/>
  <c r="L455" i="2"/>
  <c r="L10" i="2" l="1"/>
  <c r="L9" i="2" s="1"/>
</calcChain>
</file>

<file path=xl/sharedStrings.xml><?xml version="1.0" encoding="utf-8"?>
<sst xmlns="http://schemas.openxmlformats.org/spreadsheetml/2006/main" count="2325" uniqueCount="554">
  <si>
    <t>GOBIERNO DEL ESTADO DE NAYARIT 
PROGRAMA ANUAL DE ADQUISICIONES, ARRENDAMIENTOS Y PRESTACIÓN DE SERVICIOS PARA EL EJERCICIO FISCAL 2025 
DE LA SECRETARÍA PARA LA HONESTIDAD Y BUENA GOBERNANZA</t>
  </si>
  <si>
    <t>Eje Rector</t>
  </si>
  <si>
    <t xml:space="preserve">Objetivo Estratégico </t>
  </si>
  <si>
    <t>Estrategia Vinculante</t>
  </si>
  <si>
    <t>Programa Sectorial</t>
  </si>
  <si>
    <t>CLAVE DEL OBJETO DEL GASTO (CAP/CONCEP/PDA)</t>
  </si>
  <si>
    <t>CONCEPTO/ DESCRIPCION</t>
  </si>
  <si>
    <t>CANTIDAD DE BIENES Y SERVICIOS EXISTENTES
(CANTIDADES ANUALES)</t>
  </si>
  <si>
    <t>CANTIDAD DE BIENES Y/O SERVICIOS REQUERIDOS
(CANTIDADES ANUALES)</t>
  </si>
  <si>
    <t>UNIDAD DE MEDIDA</t>
  </si>
  <si>
    <t>DESTINO DE LOS BIENES Y SERVICIOS</t>
  </si>
  <si>
    <t>CALIDAD DE LOS BIENES Y SERVICIOS</t>
  </si>
  <si>
    <t>JUSTIFICACION DE LA ADQUISICION DE LOS BIENES Y SERVICIOS</t>
  </si>
  <si>
    <t>COSTO UNITARIO ESTIMADO (PESOS)</t>
  </si>
  <si>
    <t>VALOR TOTAL ANUAL ESTIMADO (PESOS)</t>
  </si>
  <si>
    <t>CALENDARIZACION</t>
  </si>
  <si>
    <t>ENERO
CANTIDAD DE BIENES Y/O SERVICIOS REQUERIDOS</t>
  </si>
  <si>
    <t>ENERO
VALOR TOTAL (PESOS)</t>
  </si>
  <si>
    <t>FEBRERO
CANTIDAD DE BIENES Y/O SERVICIOS REQUERIDOS</t>
  </si>
  <si>
    <t>FEBRERO
VALOR TOTAL (PESOS)</t>
  </si>
  <si>
    <t>MARZO
CANTIDAD DE BIENES Y/O SERVICIOS REQUERIDOS</t>
  </si>
  <si>
    <t>MARZO
VALOR TOTAL (PESOS)</t>
  </si>
  <si>
    <t>ABRIL
CANTIDAD DE BIENES Y/O SERVICIOS REQUERIDOS</t>
  </si>
  <si>
    <t>ABRIL
VALOR TOTAL (PESOS)</t>
  </si>
  <si>
    <t>MAYO
CANTIDAD DE BIENES Y/O SERVICIOS REQUERIDOS</t>
  </si>
  <si>
    <t>MAYO
VALOR TOTAL (PESOS)</t>
  </si>
  <si>
    <t>JUNIO
CANTIDAD DE BIENES Y/O SERVICIOS REQUERIDOS</t>
  </si>
  <si>
    <t>JUNIO
VALOR TOTAL (PESOS)</t>
  </si>
  <si>
    <t>JULIO
CANTIDAD DE BIENES Y/O SERVICIOS REQUERIDOS</t>
  </si>
  <si>
    <t>JULIO
VALOR TOTAL (PESOS)</t>
  </si>
  <si>
    <t>AGOSTO
CANTIDAD DE BIENES Y/O SERVICIOS REQUERIDOS</t>
  </si>
  <si>
    <t>AGOSTO
VALOR TOTAL (PESOS)</t>
  </si>
  <si>
    <t>SEPTIEMBRE
CANTIDAD DE BIENES Y/O SERVICIOS REQUERIDOS</t>
  </si>
  <si>
    <t>SEPTIEMBRE
VALOR TOTAL (PESOS)</t>
  </si>
  <si>
    <t>OCTUBRE
CANTIDAD DE BIENES Y/O SERVICIOS REQUERIDOS</t>
  </si>
  <si>
    <t>OCTUBRE
VALOR TOTAL (PESOS)</t>
  </si>
  <si>
    <t>NOVIEMBRE
CANTIDAD DE BIENES Y/O SERVICIOS REQUERIDOS</t>
  </si>
  <si>
    <t>NOVIEMBRE
VALOR TOTAL (PESOS)</t>
  </si>
  <si>
    <t>DICIEMBRE
CANTIDAD DE BIENES Y/O SERVICIOS REQUERIDOS</t>
  </si>
  <si>
    <t>DICIEMBRE
VALOR TOTAL (PESOS)</t>
  </si>
  <si>
    <t>PLUMA TINTA COLOR AZUL C/12 PIEZAS</t>
  </si>
  <si>
    <t>PAQUETE</t>
  </si>
  <si>
    <t>DIVERSAS ÁREAS DE LA DIRECCIÓN</t>
  </si>
  <si>
    <t>TOTALIDAD DE LAS FUNCIONES QUE SATISFAGAN LAS NECESIDADES EXPRESAS O ÍMPLICITAS DEL ÁREA USUARIA</t>
  </si>
  <si>
    <t>CUMPLIMIENTO DE LAS METAS Y OBJETIVOS DEL POA</t>
  </si>
  <si>
    <t>PLUMA TINTA COLOR NEGRO C/12 PIEZAS</t>
  </si>
  <si>
    <t>PLUMA TINTA COLOR ROJO C/12 PIEZAS</t>
  </si>
  <si>
    <t>PLUMA DE GEL COLOR AZUL PTO 0.7 C/12 PIEZAS</t>
  </si>
  <si>
    <t>CUTTER</t>
  </si>
  <si>
    <t>PIEZA</t>
  </si>
  <si>
    <t>TIJERA ACERO INOX T/17cm</t>
  </si>
  <si>
    <t>LAPIZ  GRAFITO O HB2 C/12 PIEZAS</t>
  </si>
  <si>
    <t>CUENTA FACIL</t>
  </si>
  <si>
    <t>ENGRAPADORA DE GOLPE</t>
  </si>
  <si>
    <t xml:space="preserve">LÁPIZ ADHESIVO 40 GRS. </t>
  </si>
  <si>
    <t>LAPIZ ROJO DE CERA C/12 PIEZAS</t>
  </si>
  <si>
    <t>CINTA ADHESIVA DELGADA TRANSPARENTE 24MMx65MT</t>
  </si>
  <si>
    <t>CINTA ADHESIVA GRUESA TRANSPARENETE 48MM X 150MT</t>
  </si>
  <si>
    <t>BROCHES PARA ARCHIVO 8 CM. C/50</t>
  </si>
  <si>
    <t xml:space="preserve">SACAPUNTAS </t>
  </si>
  <si>
    <t>CORRECTOR DE PLUMA</t>
  </si>
  <si>
    <t>BICOLOR</t>
  </si>
  <si>
    <t>MARCATEXTOS AMARILLO C/12 PIEZAS</t>
  </si>
  <si>
    <t>MARCATEXTOS NARANJA C/12 PIEZAS</t>
  </si>
  <si>
    <t>MARCATEXTOS VERDE C/12 PIEZAS</t>
  </si>
  <si>
    <t>MARCATEXTOS ROSA C/12 PIEZAS</t>
  </si>
  <si>
    <t>LIBRETA DE TAQUIGRAFIA GRANDE</t>
  </si>
  <si>
    <t>GOMAS PARA BORRAR DE MIGAJON</t>
  </si>
  <si>
    <t>GRAPAS ESTANDAR C/5000 PIEZAS</t>
  </si>
  <si>
    <t>CLIP CUADRADITO No. 1</t>
  </si>
  <si>
    <t>CLIP CUADRADITO No. 2</t>
  </si>
  <si>
    <t>CLIP CUADRADITO No. 3</t>
  </si>
  <si>
    <t>CLIPS DE MARIPOSA No. 1</t>
  </si>
  <si>
    <t>CLIPS DE MARIPOSA No. 2</t>
  </si>
  <si>
    <t>SUJETADORES JUMBO 51mm (2") C/12 PIEZAS</t>
  </si>
  <si>
    <t>SUJETADORES GRANDE 41mm (1 5/8") C/12 PIEZAS</t>
  </si>
  <si>
    <t>SUJETADORES MEDIANO 32mm (1 1/4") C/12 PIEZAS</t>
  </si>
  <si>
    <t>SUJETADORES CHICO 25mm (1") C/12 PIEZAS</t>
  </si>
  <si>
    <t>SUJETADORES MINI 19mm (3/4") C/12 PIEZAS</t>
  </si>
  <si>
    <t>HILO CAÑAMO No. 00 T/19cm</t>
  </si>
  <si>
    <t>AGUJAS PARA COSTURAR T/17cm</t>
  </si>
  <si>
    <t xml:space="preserve">PERFORADORA 2 ORIFICIOS </t>
  </si>
  <si>
    <t xml:space="preserve">PERFORADORA 3 ORIFICIOS </t>
  </si>
  <si>
    <t>QUITA GRAPAS</t>
  </si>
  <si>
    <t>RAFIA DE POLIPROPILENO CALIBRE 2.2 G/M COLOR BLANCO ROLLO DE 900GR</t>
  </si>
  <si>
    <t>PLUMON NEGRO PERMANENTE PUNTA CINCEL</t>
  </si>
  <si>
    <t>PLUMON NEGRO PERMANENTE TWIN TIP</t>
  </si>
  <si>
    <t>CINTA CANELA 48MM X 150MT</t>
  </si>
  <si>
    <t>FOLIADOR C/7 DÍGITOS</t>
  </si>
  <si>
    <t>DIVERSAS ÁREAS DE LA SECRETARÍA</t>
  </si>
  <si>
    <t>PAPELERA DE PLÁSTICO C/3 NIVELES</t>
  </si>
  <si>
    <t>LIBRETA PROFESIONAL</t>
  </si>
  <si>
    <t>NOTAS ADHESIVAS 3X3"</t>
  </si>
  <si>
    <t>NOTAS POP UP (FLECHITAS)</t>
  </si>
  <si>
    <t>PROTECTOR DE HOJA T/CARTA C/100 PIEZAS</t>
  </si>
  <si>
    <t>LIBRETA DE PASTA DURA DE CORTE FRANCESA</t>
  </si>
  <si>
    <t>SEPARADORES DE 15 PZAS.</t>
  </si>
  <si>
    <t>SEPARADORES DE 10 PZAS.</t>
  </si>
  <si>
    <t>SOBRE BLANCO PARA DISCO</t>
  </si>
  <si>
    <t>SOBRE MANILA T/RADIOGRAFIA</t>
  </si>
  <si>
    <t>SOBRE MANILA T/DOBLE CARTA</t>
  </si>
  <si>
    <t>SOBRE MANILA T/OFICIO</t>
  </si>
  <si>
    <t>SOBRE MANILA T/CARTA</t>
  </si>
  <si>
    <t>SOBRE MANILA T/MEDIA CARTA</t>
  </si>
  <si>
    <t>SOBRE MANILA T/NOMINA</t>
  </si>
  <si>
    <t>CAJA DE ARCHIVO DE PLASTICO T/CARTA</t>
  </si>
  <si>
    <t>HOJA BLANCA BOND T/CARTA C/500 HOJAS</t>
  </si>
  <si>
    <t>HOJA BLANCA BOND T/OFICIO C/500 HOJAS</t>
  </si>
  <si>
    <t>HOJA DE COLOR NARANJA T/CARTA C/100 HOJAS</t>
  </si>
  <si>
    <t>HOJA DE COLOR ROSA T/CARTA C/100 HOJAS</t>
  </si>
  <si>
    <t>HOJA DE COLOR AZUL CIELO T/CARTA C/100 HOJAS</t>
  </si>
  <si>
    <t>HOJA DE COLOR MORADO T/CARTA C/100 HOJAS</t>
  </si>
  <si>
    <t>HOJA DE COLOR VERDE T/CARTA C/100 HOJAS</t>
  </si>
  <si>
    <t>HOJA DE COLOR AMARILLO T/CARTA C/100 HOJAS</t>
  </si>
  <si>
    <t>FOLDERS T/CARTA COLOR BEIGE C/100</t>
  </si>
  <si>
    <t>FOLDERS T/OFICIO COLOR BEIGE C/100</t>
  </si>
  <si>
    <t>RECOPILADOR T/CARTA</t>
  </si>
  <si>
    <t>RECOPILADOR T/OFICIO</t>
  </si>
  <si>
    <t xml:space="preserve">FOLDERS T/OFICIO COLOR ROJO C/100 </t>
  </si>
  <si>
    <t xml:space="preserve">FOLDERS T/OFICIO COLOR AZUL REY C/100 </t>
  </si>
  <si>
    <t>FOLDERS T/OFICIO COLOR NARANJA C/100</t>
  </si>
  <si>
    <t>FOLDERS T/OFICIO COLOR VERDE C/100</t>
  </si>
  <si>
    <t xml:space="preserve">FOLDERS T/OFICIO COLOR AMARILLO C/100 </t>
  </si>
  <si>
    <t>FOLDERS T/OFICIO COLOR ROSITA C/100</t>
  </si>
  <si>
    <t>TINTA DE GOTERO ROJA</t>
  </si>
  <si>
    <t>TINTA DE GOTERO AZUL</t>
  </si>
  <si>
    <t>TINTA DE GOTERO NEGRA</t>
  </si>
  <si>
    <t>DISCO DVD</t>
  </si>
  <si>
    <t xml:space="preserve">DISCO CD </t>
  </si>
  <si>
    <t>TONER 202 A NEGRO</t>
  </si>
  <si>
    <t>TONER 202 A CYAN</t>
  </si>
  <si>
    <t>TONER 202 A MAGENTA</t>
  </si>
  <si>
    <t>TONER 202 A YELLOW</t>
  </si>
  <si>
    <t>TONER 206 A NEGRO</t>
  </si>
  <si>
    <t>TONER 206 A CYAN</t>
  </si>
  <si>
    <t>TONER 206 A MAGENTA</t>
  </si>
  <si>
    <t>TONER 206 A YELLOW</t>
  </si>
  <si>
    <t>TONER 414 A NEGRO</t>
  </si>
  <si>
    <t>TONER 414 A CYAN</t>
  </si>
  <si>
    <t>TONER 414 A MAGENTA</t>
  </si>
  <si>
    <t>TONER 414 A YELLOW</t>
  </si>
  <si>
    <t>TONER 305A C/CYAN</t>
  </si>
  <si>
    <t>TONER 305A C/AMARILLO</t>
  </si>
  <si>
    <t>TONER 305A C/MAGENTA</t>
  </si>
  <si>
    <t>TONER 305A C/NEGRO</t>
  </si>
  <si>
    <t>TONER CC532A YELOW-IMPRESORA LASER JET CP2025</t>
  </si>
  <si>
    <t>TONER CC533A MAGENTA-IMPRESORA LASER JET CP2025</t>
  </si>
  <si>
    <t>TONER CC531A CYAN-IMPRESORA LASER JET CP2025</t>
  </si>
  <si>
    <t>TONER CC530A BLACK-IMPRESORA LASER JET CP2025</t>
  </si>
  <si>
    <t>CARTUCHOS DE TINTA HP LASERJET P2035, P2055 05 A</t>
  </si>
  <si>
    <t>TONER 78A C/NEGRO</t>
  </si>
  <si>
    <t>TONER 79A C/NEGRO</t>
  </si>
  <si>
    <t>TONER RICOH NEGRO</t>
  </si>
  <si>
    <t>TINTA TONER DE COLOR AMARILLO PARA IMPRESORA HP SMART TANK 530</t>
  </si>
  <si>
    <t>TINTA TONER DE COLOR ROSA PARA IMPRESORA HP SMART TANK 530</t>
  </si>
  <si>
    <t>TINTA TONER DE COLOR AZUL PARA IMPRESORA HP SMART TANK 530</t>
  </si>
  <si>
    <t>TINTA TONER NEGRO PARA IMPRESORA HP SMART TANK 530</t>
  </si>
  <si>
    <t>MEMORIA USB 32 GB</t>
  </si>
  <si>
    <t>SEÑALÉTICAS EN TROVICEL IMPRESO</t>
  </si>
  <si>
    <t>LIQUIDO LIMPIADOR MULTIUSOS DE 800ML A 1 LITRO</t>
  </si>
  <si>
    <t>CLORO 1 LITRO</t>
  </si>
  <si>
    <t>LIMPIADOR LIQUIDO CON ACEITE DE PINO DE 800ML A 1 LITRO</t>
  </si>
  <si>
    <t xml:space="preserve">LIMPIADOR LIQUIDO PARA VIDRIOS Y SUPERFICIES DE 640 ML </t>
  </si>
  <si>
    <t>PASTILLA AZUL DESODORANTE PARA INODORO</t>
  </si>
  <si>
    <t>LUSTRADOR DE MUEBLES EN AEROSOL</t>
  </si>
  <si>
    <t>AROMATIZANTE DE AMBIENTE EN AEROSOL DE 400 ML</t>
  </si>
  <si>
    <t>PASTILLA DE CLORO PARA ALJIBER</t>
  </si>
  <si>
    <t>JABON EN POLVO DE 1 KG</t>
  </si>
  <si>
    <t>FIBRA VERDE PARA BAÑO</t>
  </si>
  <si>
    <t>ESPONJA LAVATRASTES</t>
  </si>
  <si>
    <t>TRAPEADOR DE MICROFIBRA</t>
  </si>
  <si>
    <t>CEPILLO DE PLASTICO DE MANO TAMAÑO CHICO</t>
  </si>
  <si>
    <t>ESCOBA CEPILLO GRANDE</t>
  </si>
  <si>
    <t>CUBETA DE PLASTICO 15 LT</t>
  </si>
  <si>
    <t>GUANTES DE HULE</t>
  </si>
  <si>
    <t>CEPILLO PARA INODORO CON BASE</t>
  </si>
  <si>
    <t xml:space="preserve">MOPEADOR BASE </t>
  </si>
  <si>
    <t>INSECTICIDA PARA CASA Y JARDIN</t>
  </si>
  <si>
    <t>TOALLITAS HUMEDAS DESISFECTANTES</t>
  </si>
  <si>
    <t>PZA</t>
  </si>
  <si>
    <t>JABÓN LÍQUIDO P/MANOS 5 LT</t>
  </si>
  <si>
    <t>GALÓN</t>
  </si>
  <si>
    <t>DESINFECTANTE EN AEROSOL 475 GR</t>
  </si>
  <si>
    <t>GEL ANTIBACTERIAL DE 750 ML</t>
  </si>
  <si>
    <t>JABÓN LÍQUIDO PARA LAVATRASTES 750 A 850 ML</t>
  </si>
  <si>
    <t xml:space="preserve">TOALLA INTERDOBLADA BLANCA C/2000 PIEZAS C/20 PAQUETES </t>
  </si>
  <si>
    <t>CAJA</t>
  </si>
  <si>
    <t>PAPEL HIGIÉNICO JUMBO DOBLE HOJA C/12 ROLLOS/180 MT DOBLE HOJA</t>
  </si>
  <si>
    <t xml:space="preserve">PAÑO DE LIMPIEZA DE MICROFIBRA </t>
  </si>
  <si>
    <t>PIEZAS</t>
  </si>
  <si>
    <t>AGUA EMBOTELLADA 330 ML C/24</t>
  </si>
  <si>
    <t>AGUA EMBOTELLADA 1 LT C/12</t>
  </si>
  <si>
    <t>ALIMENTOS DE TRABAJO</t>
  </si>
  <si>
    <t>CONSUMO</t>
  </si>
  <si>
    <t>AZÚCAR REFINADA C/1000 SOBRES DE 4 GR C/U</t>
  </si>
  <si>
    <t>AZÚCAR SPLENDA C/600 SOBRES 1 GR C/U</t>
  </si>
  <si>
    <t>CAFÉ TOSTADO MOLIDO BOLSA 1 KG</t>
  </si>
  <si>
    <t>BOLSA</t>
  </si>
  <si>
    <t>GARRAFONES DE AGUA 19 LTS</t>
  </si>
  <si>
    <t>GALLETAS 1.5 KG</t>
  </si>
  <si>
    <t>TÉ VARIOS SABORES C/45 SOBRES</t>
  </si>
  <si>
    <t>VASOS DE CRISTAL C/12 DE 392 ML</t>
  </si>
  <si>
    <t>DESPACHO DE LA TITULAR</t>
  </si>
  <si>
    <t>PLATOS CUADRADOS 20 CM MELAMINA C/6</t>
  </si>
  <si>
    <t xml:space="preserve">TAZA PARA CAFÉ .25 LT </t>
  </si>
  <si>
    <t>JUEGO CUBIERTOS C/24 PZAS.</t>
  </si>
  <si>
    <t>JUEGO</t>
  </si>
  <si>
    <t>CAFETERA PARA 45 TAZAS INDUSTRIAL</t>
  </si>
  <si>
    <t>CAFETERA AUTOMÁTICA DE GOTEO</t>
  </si>
  <si>
    <t>JARRA DE CRISTAL</t>
  </si>
  <si>
    <t>PLATOS HONDO GRUESO MELAMINA C/6</t>
  </si>
  <si>
    <t>JABONERA</t>
  </si>
  <si>
    <t>DIRECCION GRAL ADMVA</t>
  </si>
  <si>
    <t>LAVAMANOS</t>
  </si>
  <si>
    <t>INODORO</t>
  </si>
  <si>
    <t>MINGITORIOS</t>
  </si>
  <si>
    <t>PASTA SELLADOR PARA BASE DE INODORO Y LAVAMANOS</t>
  </si>
  <si>
    <t>PISO CERÁMICA</t>
  </si>
  <si>
    <t>PEGA PORCELÁNICO PERDURA BLANCO C/20 KG</t>
  </si>
  <si>
    <t>SACO</t>
  </si>
  <si>
    <t>CEMENTO</t>
  </si>
  <si>
    <t>TEXTUCO</t>
  </si>
  <si>
    <t>ADHHESIVO PORCELÁNICO</t>
  </si>
  <si>
    <t>CAL</t>
  </si>
  <si>
    <t>YESO</t>
  </si>
  <si>
    <t>TABLAROCA PANEL</t>
  </si>
  <si>
    <t xml:space="preserve">PIEZA </t>
  </si>
  <si>
    <t>PLAFONES</t>
  </si>
  <si>
    <t>HUANACAXTLE 4X8 5 MM</t>
  </si>
  <si>
    <t>UDA</t>
  </si>
  <si>
    <t>HUANACAXTLE 4X8 18 MM</t>
  </si>
  <si>
    <t>PUERTA DE MADERA</t>
  </si>
  <si>
    <t>AUTORIDAD INVESTIGADORA "C"</t>
  </si>
  <si>
    <t>CRISTAL TEMPLADO 60X20 CM</t>
  </si>
  <si>
    <t xml:space="preserve">VIDRIO PARA VENTANA </t>
  </si>
  <si>
    <t>FILTRASOL 6MM</t>
  </si>
  <si>
    <t>FILTRASOL 10MM</t>
  </si>
  <si>
    <t>LÁMPARA LINEAL 54 W</t>
  </si>
  <si>
    <t>LÁMPARA SLIM 60 W</t>
  </si>
  <si>
    <t>LÁMPARA FLUORESCENTE 28 W</t>
  </si>
  <si>
    <t>CABLE POT CAL 14</t>
  </si>
  <si>
    <t>MT</t>
  </si>
  <si>
    <t>LÁMPARA CUADRADA 12 W</t>
  </si>
  <si>
    <t>CANALETA DE ALUMINIO DE 1"</t>
  </si>
  <si>
    <t>CANALETA 1 VÍA 35X17 CON PEGAMENTO</t>
  </si>
  <si>
    <t>CABLE POT CAL 16</t>
  </si>
  <si>
    <t>CABLE 8 THW</t>
  </si>
  <si>
    <t>EXTENSIÓN DOMÉSTICA 3 MT</t>
  </si>
  <si>
    <t>EXTENSIÓN DOMÉSTICA 5 MT</t>
  </si>
  <si>
    <t>PASTILLA 2X40 AMP</t>
  </si>
  <si>
    <t>BARRA MULTICONTACTO DE 6 SALIDAS</t>
  </si>
  <si>
    <t>CONTACTO DUPLEX</t>
  </si>
  <si>
    <t>CAJA USO MÚLTIPLE</t>
  </si>
  <si>
    <t>CABLE POT CAL 12</t>
  </si>
  <si>
    <t>LÁMPARA LINEA 36W</t>
  </si>
  <si>
    <t>FOCO LED 15W</t>
  </si>
  <si>
    <t>EXTENSIÓN USO RUDO 2 MT</t>
  </si>
  <si>
    <t>EXTENSIÓN USO RUDO 3 MT</t>
  </si>
  <si>
    <t>EXTENSIÓN USO RUDO 5 MT</t>
  </si>
  <si>
    <t>CENTRO DE CARGA 40 V</t>
  </si>
  <si>
    <t>PILA AA</t>
  </si>
  <si>
    <t>PILA AAA</t>
  </si>
  <si>
    <t>CINTA AISLANTE 3 MT</t>
  </si>
  <si>
    <t>CANALETA DE PISO</t>
  </si>
  <si>
    <t>CANALETA 35X17</t>
  </si>
  <si>
    <t>MALLA CICLONICA</t>
  </si>
  <si>
    <t>TORNILLO</t>
  </si>
  <si>
    <t>TUERCA</t>
  </si>
  <si>
    <t>BISAGRAS OCULTAS</t>
  </si>
  <si>
    <t>HERRAJES</t>
  </si>
  <si>
    <t>KIT SANITARIO</t>
  </si>
  <si>
    <t>BROCA</t>
  </si>
  <si>
    <t>ABRAZADERA PARA PARED DELGADA PLATA</t>
  </si>
  <si>
    <t>ABRAZADERA PARA PARED GRUESA 1"</t>
  </si>
  <si>
    <t>CONECTOR</t>
  </si>
  <si>
    <t>COPLE T 1"</t>
  </si>
  <si>
    <t>PERFIL TUBULAR PINTADO</t>
  </si>
  <si>
    <t>PERFIL TUBULAR RECTANGULAR 1X1 6 M C. 20</t>
  </si>
  <si>
    <t xml:space="preserve">SUMA </t>
  </si>
  <si>
    <t xml:space="preserve">ESTRUCTURA METALICA PARA BASE DE TABLARROCA </t>
  </si>
  <si>
    <t>DESPACHADOR DE TOALLAS</t>
  </si>
  <si>
    <t>CORTINERO</t>
  </si>
  <si>
    <t>COORDINACIÓN ADMINISTRATIVA</t>
  </si>
  <si>
    <t>TAPETE MICROFIBRA 3X5' NEGRO</t>
  </si>
  <si>
    <t>CORTINAS 1.50X2</t>
  </si>
  <si>
    <t>TUBO PVC 1.5X3MT</t>
  </si>
  <si>
    <t>CONEXIÓN T PVC 1/2" BLANCO DURA</t>
  </si>
  <si>
    <t>TAQUETES DE PLÁSTICO 1/4" C/100 PZAS</t>
  </si>
  <si>
    <t>VÁLVULA DE DESCARGA SENCILLA 3"</t>
  </si>
  <si>
    <t>MANGUERA 5/8" AZUL</t>
  </si>
  <si>
    <t>ML</t>
  </si>
  <si>
    <t>TUBO PVC 1 1/4" X 3 MT</t>
  </si>
  <si>
    <t>TUBO PVC SANITARIO 4X1 MT</t>
  </si>
  <si>
    <t>METRO</t>
  </si>
  <si>
    <t>TAQUETES DE PLÁSTICO 5/16" C/100 PZAS</t>
  </si>
  <si>
    <t>CINTA TEFLÓN 1/2"X260</t>
  </si>
  <si>
    <t>BROCHA CERDA NATURAL 5"</t>
  </si>
  <si>
    <t>BROCHA CERDA NATURAL 2"</t>
  </si>
  <si>
    <t>KIT RODILLO PRO 18"</t>
  </si>
  <si>
    <t>KIT</t>
  </si>
  <si>
    <t>CINTA DOBLE CARA</t>
  </si>
  <si>
    <t>LIJAS DE AGUA GRADO 220 28X23 CM</t>
  </si>
  <si>
    <t>PINTURA CUBETA 19LT</t>
  </si>
  <si>
    <t>BOLSA PLASTICA DE  CAMISETA TAMAÑO MEDIANO</t>
  </si>
  <si>
    <t>KILOS</t>
  </si>
  <si>
    <t>BOLSA NEGRA P/BASURA 70X90 25 KG</t>
  </si>
  <si>
    <t>BULTO</t>
  </si>
  <si>
    <t>GASOLINA MAGNA</t>
  </si>
  <si>
    <t>LT</t>
  </si>
  <si>
    <t>ACEITE MULTIGRADO 946 ML</t>
  </si>
  <si>
    <t>DIESEL</t>
  </si>
  <si>
    <t>CAMISA MANGA LARGA C/LOGO OFICIAL GOBIERNO</t>
  </si>
  <si>
    <t>LENTES DE PROTECCIÓN</t>
  </si>
  <si>
    <t>TAPONES AUDITIVOS CAJA C/3 PARES</t>
  </si>
  <si>
    <t>PROTECTOR FACIAL ANATÓMICO PAQ. C/3</t>
  </si>
  <si>
    <t>GUANTES DE MÁXIMO AGARRE</t>
  </si>
  <si>
    <t>PAR</t>
  </si>
  <si>
    <t>CAMBAYA RAYADA .80</t>
  </si>
  <si>
    <t>MT.</t>
  </si>
  <si>
    <t>LISTÓN SATINADO</t>
  </si>
  <si>
    <t>LICRA METÁLICA 1.50 MT. ANCHO TRAMO 3 MT</t>
  </si>
  <si>
    <t>ROLLO</t>
  </si>
  <si>
    <t>TELA FIELTRO DE 190 GR POR METRO ANCHO 90 CM</t>
  </si>
  <si>
    <t>CINTA MÉTRICA 5 MTS.</t>
  </si>
  <si>
    <t>PINZA DE CORTE DIAGONAL 5" ACERO</t>
  </si>
  <si>
    <t>MARTILLO DE UÑA CURVA 16 ONZAS ACERO</t>
  </si>
  <si>
    <t>DESARMADOR CON PUNTA ECX C/8 PIEZAS</t>
  </si>
  <si>
    <t>ESPEJO DE PARED</t>
  </si>
  <si>
    <t>LLAVE MEZCLADORA</t>
  </si>
  <si>
    <t>DUPLICADO DE LLAVES PARA ARCHIVERO Y PUERTAS</t>
  </si>
  <si>
    <t>CANDADO LAMINADO 38 MM / 2PIEZAS</t>
  </si>
  <si>
    <t>CORREDERA EXTENSIÓN TOTAL 45 MM  CAJÓN 50 CM 2 PZAS.</t>
  </si>
  <si>
    <t>RODAJAS PARA SILLAS</t>
  </si>
  <si>
    <t>PISTONES NEUMÁTICOS PARA SILLAS</t>
  </si>
  <si>
    <t>GABINETE</t>
  </si>
  <si>
    <t>CABLE CARGADOR</t>
  </si>
  <si>
    <t>LECTOR DE DISCO</t>
  </si>
  <si>
    <t>BOCINAS PARA COMPUTADORA</t>
  </si>
  <si>
    <t>MOUSE INALAMBRICO COLOR NEGRO</t>
  </si>
  <si>
    <t>CARGADOR PARA LAP TOP 19.5 V 2.31A 45W PUNTA AZUL</t>
  </si>
  <si>
    <t>CARGADOR 20V 2.25V A TIP 4.0X1.7MM 45W</t>
  </si>
  <si>
    <t xml:space="preserve">TARJETA DE RED INALÁMBRICA </t>
  </si>
  <si>
    <t>ADAPTADOR RED INALÁMBRICO WIFI USB 300 MBPS</t>
  </si>
  <si>
    <t>CABLE HDMI 3 MT</t>
  </si>
  <si>
    <t>CABLE HDMI VIDEO 2.1 VIDEO 4 K 120HZ 8K 60HZ 1 MT.</t>
  </si>
  <si>
    <t>BOCINAS PARA PC</t>
  </si>
  <si>
    <t>TECLADO Y MOUSE INALÁMBRICO PARA PC</t>
  </si>
  <si>
    <t xml:space="preserve">TECLADO PARA COMPUTADORA DE ESCRITORIO </t>
  </si>
  <si>
    <t xml:space="preserve">REGULADOR DE VOLTAJE </t>
  </si>
  <si>
    <t xml:space="preserve">MOUSE ALAMBRICO COLOR NEGRO </t>
  </si>
  <si>
    <t>DISCO DURO SSD</t>
  </si>
  <si>
    <t>BATERIAS</t>
  </si>
  <si>
    <t>SENSORES</t>
  </si>
  <si>
    <t>CABLE PASA CORRIENTE 6.1 MT</t>
  </si>
  <si>
    <t>ROTOR</t>
  </si>
  <si>
    <t>BUJÍA C/4</t>
  </si>
  <si>
    <t>LÍQUIDO DE FRENOS 950 ML</t>
  </si>
  <si>
    <t>RADIADOR PARA TSURU</t>
  </si>
  <si>
    <t>FILTRO DE AIRE</t>
  </si>
  <si>
    <t>PARABRISAS</t>
  </si>
  <si>
    <t>BALATA DELANTERA PARA FRENOS</t>
  </si>
  <si>
    <t>BALATA TRASERA PARA FRENOS</t>
  </si>
  <si>
    <t>FILTRO DE ACEITE</t>
  </si>
  <si>
    <t>BALERO DELANTERO DOBLE</t>
  </si>
  <si>
    <t>SALPICADERA PARA TIIDA</t>
  </si>
  <si>
    <t>AMORTIGUADORES DELANTEROS PARA TSURU</t>
  </si>
  <si>
    <t>AMORTIGUADORES TRASEROS 2 PZAS.PARA TSURU</t>
  </si>
  <si>
    <t>CHICOTE CLUTCH PARA TSURU</t>
  </si>
  <si>
    <t>CIGÚEÑAL PARA AVEO</t>
  </si>
  <si>
    <t>ESPEJO RETROVISOR</t>
  </si>
  <si>
    <t>INYECTORES DE MOTOR</t>
  </si>
  <si>
    <t>SENSOR ODÓMETRO</t>
  </si>
  <si>
    <t>BANDA DE MOTOR</t>
  </si>
  <si>
    <t>CONDENSADOR DE AIRE ACONDICIONADO</t>
  </si>
  <si>
    <t>CREMALLERA DIRECCIÓN HIDRÁULICA TSURU</t>
  </si>
  <si>
    <t>SOLVENTES Y DESENGRASANTES</t>
  </si>
  <si>
    <t>AUTOESTEREO</t>
  </si>
  <si>
    <t>GATO HIDRAULICO</t>
  </si>
  <si>
    <t>TAPETES</t>
  </si>
  <si>
    <t>JUEGOS</t>
  </si>
  <si>
    <t>LLANTAS VARIAS MEDIDAS</t>
  </si>
  <si>
    <t>MEDIDOR DE AGUA</t>
  </si>
  <si>
    <t>MACETA GRANDE DE PLÁSTICO 35X28</t>
  </si>
  <si>
    <t>COORDINACIÓN ADMINISTRATIVA, DESPACHO DEL TITULAR</t>
  </si>
  <si>
    <t>CONSUMO DE ENERGÍA ELÉCTRICA (BIMESTRAL)</t>
  </si>
  <si>
    <t>SERVICIO</t>
  </si>
  <si>
    <t>CONSUMO AGUA POTABLE</t>
  </si>
  <si>
    <t>SERVICIO TELEFÓNICO CONVENCIONAL</t>
  </si>
  <si>
    <t>RECARGA TELEFÓNICA A CELULAR</t>
  </si>
  <si>
    <t>SERVICIO DE ACCESO A INTERNET</t>
  </si>
  <si>
    <t>GUÍAS PREPAGADAS</t>
  </si>
  <si>
    <t>GUÍA</t>
  </si>
  <si>
    <t>PENSIÓN ESTACIONAMIENTO PARA 8 VEHÍCULOS</t>
  </si>
  <si>
    <t>ARRENDAMIENTO DE EDIFICIOS (UBICACIÓN ALLENDE No. 92)</t>
  </si>
  <si>
    <t>DIRECCIÓN GRAL. CONTROL Y AUDITORÍA GUB., COORDINACIÓN COMISARIOS PÚBLICOS</t>
  </si>
  <si>
    <t>ARRENDAMIENTO DE EDIFICIO PLANTA BAJA Y SOTANO  (UBICACIÓN ALLENDE No. 92)</t>
  </si>
  <si>
    <t>DIRECCIÓN GENERAL DE CONTRALORÍA SOCIAL Y UNIDAD DE DESARROLLO ADMINISTRATIVO</t>
  </si>
  <si>
    <t>ARRENDAMIENTO DE EDIFICIOS (UBICACIÓN COLIMA No. 159 SUR 2 BODEGA 2)</t>
  </si>
  <si>
    <t>DIRECCIÓN GENERAL ADMINISTRATIVA</t>
  </si>
  <si>
    <t>ARRENDAMIENTO DE EQUIPOS INFORMÁTICOS</t>
  </si>
  <si>
    <t>LICENCIA FORTINET</t>
  </si>
  <si>
    <t>DEPTO. INFORMÁTICA</t>
  </si>
  <si>
    <t>ALQUILER DE TABLONES Y SILLAS</t>
  </si>
  <si>
    <t>DIRECCIÓN GRAL. JURÍDICA Y CONTRALORÍA SOCIAL</t>
  </si>
  <si>
    <t>PROCEDIMIENTOS JURISDICCIONALES</t>
  </si>
  <si>
    <t>JUICIOS</t>
  </si>
  <si>
    <t>DIRECCIÓN GENERAL JURÍDICA</t>
  </si>
  <si>
    <t>SERVICIOS RELACIONADOS CON CERTIFICACIÓN DE PROCESOS</t>
  </si>
  <si>
    <t>DEPTO. QUEJAS Y DENUNCIAS</t>
  </si>
  <si>
    <t>SERVICIO DE IMPRESIÓN</t>
  </si>
  <si>
    <t>MILLAR DE VOLANTES 1/2 CARTA H/COUCHE</t>
  </si>
  <si>
    <t>CONTRALORÍA SOCIAL</t>
  </si>
  <si>
    <t>LONA IMPRESA PARA DISPLAY</t>
  </si>
  <si>
    <t>IMPRESIONES TIPO PÓSTER C/CORTE</t>
  </si>
  <si>
    <t>CILINDRO EKAL/PET MEDIIDA 7.4X24.5 CM CAPACIDAD 850 ML VARIOS COLORES ROTULACIÓN</t>
  </si>
  <si>
    <t>VINIL DE ROTULACIÓN 45X21CM</t>
  </si>
  <si>
    <t>DIRECCIÓN GRAL. JURÍDICA</t>
  </si>
  <si>
    <t>ROTULACIÓN DE MÓDULOS DE INFORMACIÓN Y DISPLAY REFORZADO</t>
  </si>
  <si>
    <t xml:space="preserve"> MILLAR TRÍPTICOS </t>
  </si>
  <si>
    <t>DEPTO. DECLARACIÓN PATRIMONIAL/CONTRALORIA SOCIAL/QUEJAS Y DENUNCIAS</t>
  </si>
  <si>
    <t>CARTEL IMPRESO A COLOR TAMAÑO TABLOIDE</t>
  </si>
  <si>
    <t>CALCAS VINIL ADHERIBLES DECLARANET TAMAÑO CARTA</t>
  </si>
  <si>
    <t>DEPTO. DECLARACIÓN PATRIMONIAL</t>
  </si>
  <si>
    <t>SEGUROS DE VEHÍCULOS PARA 11 UNIDADES</t>
  </si>
  <si>
    <t>COMISIONES TAG COMBUSTIBLE</t>
  </si>
  <si>
    <t>MANTENIMIENTO DE INSTALACIÓN HIDRÁULICA Y SANITARIA</t>
  </si>
  <si>
    <t>SERVICIO DE DIVISIONES DE TABLAROCA</t>
  </si>
  <si>
    <t>SUMINISTRO E INSTALACIÓN VENTANA ALUMINIO 40X70 CON CRISTAL</t>
  </si>
  <si>
    <t>SUMINISTRO E INSTALACIÓN DE PUERTA Y VENTANA DE MADERA</t>
  </si>
  <si>
    <t xml:space="preserve">MANTENIMIENTO Y REHABILITACIÓN A EDIFICIO </t>
  </si>
  <si>
    <t>SECRETARÍA</t>
  </si>
  <si>
    <t xml:space="preserve">MANTENIMIENTO PREVENTIVO A EQUIPOS DE AIRE ACONDICIONADO </t>
  </si>
  <si>
    <t>MANTENIMIENTO PREVENTIVO A COMPUTADORAS</t>
  </si>
  <si>
    <t>MANTENIMIENTO A IMPRESORAS</t>
  </si>
  <si>
    <t>REPARACIÓN Y SUSPENSIÓN VEHÍCULO</t>
  </si>
  <si>
    <t>SERVICIO DE AFINACIÓN Y FRENOS A VARIOS VEHÍCULOS</t>
  </si>
  <si>
    <t>LAVADO DE INYECTORES</t>
  </si>
  <si>
    <t>LAVADO DE MOTOR</t>
  </si>
  <si>
    <t>LIMPIEZA Y AJUSTE DE FRENOS</t>
  </si>
  <si>
    <t>CAMBIO DE CREMALLERA DE DIRECCIÓN</t>
  </si>
  <si>
    <t>DIRECCIÓN GRAL. CONTROL Y AUDITORÍA</t>
  </si>
  <si>
    <t>REPARACIÓN DE AIRE ACONDICIONADO</t>
  </si>
  <si>
    <t>AJUSTE BANDA MOTOR</t>
  </si>
  <si>
    <t>CAMBIO DE BALATAS DELANTERAS Y TRASERAS</t>
  </si>
  <si>
    <t>SERVICIO DE AFINACIÓN, SCANNER Y REPARACIÓN DE ENCENDIDO</t>
  </si>
  <si>
    <t>MANTENIMIENTO DE BOMBA DE AGUA</t>
  </si>
  <si>
    <t>SERVICIO DE FUMIGACIÓN</t>
  </si>
  <si>
    <t>COORDINACIÓN DE ARCHIVO</t>
  </si>
  <si>
    <t>PASAJES AÉREOS</t>
  </si>
  <si>
    <t>VUELO</t>
  </si>
  <si>
    <t>SECRETARÍA, DIRECCIÓN GRAL. CONTROL Y AUDITORÍA, DIRECCIÓN GENERAL JURÍDICA</t>
  </si>
  <si>
    <t>PEAJES</t>
  </si>
  <si>
    <t>PEAJE</t>
  </si>
  <si>
    <t>VIÁTICOS AL PERSONAL POR COMISIÓN OFICIAL</t>
  </si>
  <si>
    <t>VIÁTICO</t>
  </si>
  <si>
    <t>PENSIÓN ESTACIONAMIENTO EN EL DESEMPEÑO DE FUNCIONES</t>
  </si>
  <si>
    <t>ESTACIONAMIENTO</t>
  </si>
  <si>
    <t>ORGANIZACIÓN Y EJECUCIÓN DE EVENTO</t>
  </si>
  <si>
    <t>EVENTO CONTRALORES</t>
  </si>
  <si>
    <t>EVENTO</t>
  </si>
  <si>
    <t>CUADRO ESTAMBRE HUICHOL PARA EVENTO FUERA DEL EDO.</t>
  </si>
  <si>
    <t>MATERIAL PARA DECORACIÓN</t>
  </si>
  <si>
    <t>ARTESANÍA FORRADA DE CHAQUIRA PARA EVENTO FUERA DEL EDO.</t>
  </si>
  <si>
    <t>TENENCIAS</t>
  </si>
  <si>
    <t>TARJETA CIRCULACIÓN</t>
  </si>
  <si>
    <t>RESOLUCIONES EMITIDAS POR AUTORIDA COMPETENTE</t>
  </si>
  <si>
    <t>RESOLUCIÓN</t>
  </si>
  <si>
    <t>ANAQUEL ESTANTE METÁLICO 5 NIVELES 60X30X200M</t>
  </si>
  <si>
    <t xml:space="preserve">ARCHIVERO C/CAJONES CARTA Y OFICIO  </t>
  </si>
  <si>
    <t>MESA DE JUNTAS OVALADA 2.40 X 1.1 MT CON FALDON CENTRAL FABRICADA EN MELAMINA</t>
  </si>
  <si>
    <t>SILLA EJECUTIVA ERGONOMICA</t>
  </si>
  <si>
    <t xml:space="preserve">SILLA SECRETARÍAL CON REPOSABRAZOS </t>
  </si>
  <si>
    <t xml:space="preserve">ARCHIVERO 4 GAVETAS </t>
  </si>
  <si>
    <t xml:space="preserve">ESCRITORIO </t>
  </si>
  <si>
    <t>COMPUTADORA DE ESCRITORIO ALL IN ONE DISCO DURO 512 GB</t>
  </si>
  <si>
    <t>IMPRESORA EN COLOR CON DISPOSITIVOS MÓVILES</t>
  </si>
  <si>
    <t>CAMARA WEB</t>
  </si>
  <si>
    <t>AIRE ACONDICIONADO MINI SPLIT 12000 BTU</t>
  </si>
  <si>
    <t>MICRÓFONO</t>
  </si>
  <si>
    <t>PISTOLA PARA ENROLLAR CABLE</t>
  </si>
  <si>
    <t>TRITURADORA</t>
  </si>
  <si>
    <t>C.P.A. GLADIS FLORES CONTRERAS</t>
  </si>
  <si>
    <t>TITULAR DE LA SECRETARÍA PARA LA HONESTIDAD Y BUENA GOBERNANZA</t>
  </si>
  <si>
    <t>__________________________________________________________</t>
  </si>
  <si>
    <t>OTROS EQUIPOS DE COMUNICACIÓN</t>
  </si>
  <si>
    <t>OTROS EQUIPOS DE MANTENIMIENTO Y SEGURIDAD</t>
  </si>
  <si>
    <t>ARRENDAMIENTO DE EQUIPO DE TRANSPORTE</t>
  </si>
  <si>
    <t>MATERIALES DE FERRETERÍA PARA OFICINAS</t>
  </si>
  <si>
    <t>MATERIAL PARA MANTENIMIENTO DE LA OFICINA</t>
  </si>
  <si>
    <t xml:space="preserve">MATERIALES DE PINTURA Y DIBUJO PARA USO EN OFICINAS </t>
  </si>
  <si>
    <t>MATERIALES PARA IMPRESIÓN Y REPRODUCCIÓN</t>
  </si>
  <si>
    <t>MATERIAL PARA USO FOTOFRÁFICO Y CINEMATOGRÁFICO</t>
  </si>
  <si>
    <t>PRODUCTOS DE PAPEL Y HULE PARA USO EN IMPRESIÓN Y REPRODUCCIÓN</t>
  </si>
  <si>
    <t>ARTÍCULOS DIVERSOS DE CARÁCTER COMERCIAL</t>
  </si>
  <si>
    <t>MATERIALES PARA SERVICIO EN GENERAL</t>
  </si>
  <si>
    <t>MATERIAL DE COMUNICACIÓN</t>
  </si>
  <si>
    <t>PRODUCTOS IMPRESOS EN PAPEL</t>
  </si>
  <si>
    <t>MATERIAL DE FOTOCREDENCIALIZACIÓN</t>
  </si>
  <si>
    <t>UTENSILIOS DIVERSOS DE CARÁCTER COMERCIAL</t>
  </si>
  <si>
    <t>MATERIAL DE FERRETERÍA PARA SERVICIO DE ALIMENTACIÓN</t>
  </si>
  <si>
    <t>SUBSTANCIAS Y PRODUCTOS QUÍMICOS BÁSICOS</t>
  </si>
  <si>
    <t>FERTILIZANTES, PESTICIDAS Y OTROS</t>
  </si>
  <si>
    <t xml:space="preserve">  MEDICINAS Y PRODUCTOS FARMACÉUTICOS DE APLICACIÓN HUMANA</t>
  </si>
  <si>
    <t>ARTÍCULOS PARA SERVICIOS GENERALES EN EL ÁREA MÉDICA</t>
  </si>
  <si>
    <t xml:space="preserve"> MATERIAL QUIRÚRGICO Y DE LABORATORIO DE USO EN EL ÁREA MÉDICA</t>
  </si>
  <si>
    <t xml:space="preserve"> PRODUCTOS TEXTILES PARA SEGURIDAD Y PROTECCIÓN PERSONAL</t>
  </si>
  <si>
    <t xml:space="preserve">  ARTÍCULOS PARA SERVICIOS GENERALES DE ORIGEN TEXTIL</t>
  </si>
  <si>
    <t>OTROS PRODUCTOS TEXTILES</t>
  </si>
  <si>
    <t xml:space="preserve"> APARATOS E INSTRUMENTOS MENORES</t>
  </si>
  <si>
    <t xml:space="preserve"> ARTÍCULOS MENORES PARA SERVICIOS GENERALES</t>
  </si>
  <si>
    <t xml:space="preserve"> EQUIPOS Y MATERIALES MENORES DE MANTENIMIENTO Y SEGURIDAD</t>
  </si>
  <si>
    <t xml:space="preserve"> ARTÍCULOS ELECTRÓNICOS MENORES</t>
  </si>
  <si>
    <t xml:space="preserve"> ARTÍCULOS AUXILIARES DE CÓMPUTO</t>
  </si>
  <si>
    <t>ARTÍCULOS MENORES DE MANTENIMIENTO Y SEGURIDAD PARA EQUIPO DE TRANSPORTE</t>
  </si>
  <si>
    <t xml:space="preserve">  IMPLEMENTOS MENORES PARA TRANSPORTE Y EQUIPO FERROVIARIO</t>
  </si>
  <si>
    <t xml:space="preserve"> REFACCIONES Y ACCESORIOS MENORES DE EQUIPO DE DEFENSA Y SEGURIDAD</t>
  </si>
  <si>
    <t>ARTÍCULOS ELECTRÓNICOS MENORES PARA OTROS BIENES MUEBLES</t>
  </si>
  <si>
    <t>MATERIAL MENOR DE FERRETERÍA PARA OTROS BIENES MUEBLES</t>
  </si>
  <si>
    <t xml:space="preserve"> MATERIAL MENOR DE MANTENIMIENTO Y SEGURIDAD PARA OTROS BIENES MUEBLES</t>
  </si>
  <si>
    <t xml:space="preserve">  PRODUCTOS MENORES DE HULE PARA OTROS BIENES MUEBLES</t>
  </si>
  <si>
    <t>REFACCIONES MENORES PARA USO DIVERSOS EN OTROS BIENES MUEBLES</t>
  </si>
  <si>
    <t xml:space="preserve"> SERVICIOS DE TELECOMUNICACIONES</t>
  </si>
  <si>
    <t xml:space="preserve"> SERVICIO TELEGRÁFICO</t>
  </si>
  <si>
    <t>ARRENDAMIENTO DE MOBILIARIO</t>
  </si>
  <si>
    <t xml:space="preserve"> OTRAS ASESORÍAS PARA LA OPERACIÓN DE PROGRAMAS</t>
  </si>
  <si>
    <t>SERVICIOS DE INFORMÁTICA</t>
  </si>
  <si>
    <t xml:space="preserve"> SERVICIOS DE CAPACITACIÓN</t>
  </si>
  <si>
    <t xml:space="preserve">  SERVICIOS DE INVESTIGACIÓN CIENTÍFICA Y DESARROLLO</t>
  </si>
  <si>
    <t xml:space="preserve">  SERVICIOS INTEGRALES</t>
  </si>
  <si>
    <t>IMPRESIONES DE DOCTOS.OFICIALES PARA LA PRESTACIÓN DE SER. PÚB., IDENTIFICACIÓN, FORMATOS ADMINISTRATIVOS Y FISCALES, …</t>
  </si>
  <si>
    <t xml:space="preserve"> MANTENIMIENTO Y CONSERVACIÓN DE INMUEBLES PARA LA PRESTACIÓN DE SERVICIOS PÚBLICOS</t>
  </si>
  <si>
    <t xml:space="preserve"> MANTENIMIENTO Y CONSERVACIÓN DE PLANTAS E INSTALACIONES PRODUCTIVAS</t>
  </si>
  <si>
    <t xml:space="preserve">  SERVICIOS DE LAVANDERÍA, LIMPIEZA E HIGIENE</t>
  </si>
  <si>
    <t xml:space="preserve"> CONGRESOS Y CONVENCIONES</t>
  </si>
  <si>
    <t>EXPOSICIONES</t>
  </si>
  <si>
    <t xml:space="preserve"> IMPUESTOS Y DERECHOS DE EXPORTACIÓN</t>
  </si>
  <si>
    <t>ELEMENTOS ARQUITECTÓNICOS Y MATERIAL DE EXPOSICIÓN PARA USO EN OFICINAS</t>
  </si>
  <si>
    <t xml:space="preserve">  EQUIPO DE MANTENIMIENTO Y SEGURIDAD PARA USO EN OFICINAS</t>
  </si>
  <si>
    <t xml:space="preserve"> EQUIPO ELÉCTRICO PARA OFICINAS</t>
  </si>
  <si>
    <t xml:space="preserve">  MOBILIARIO Y EQUIPO DE CÓMPUTO</t>
  </si>
  <si>
    <t xml:space="preserve"> OTROS EQUIPOS Y HERRAMIENTAS</t>
  </si>
  <si>
    <t>CÁMARAS FOTOGRÁFICAS Y DE VIDEO</t>
  </si>
  <si>
    <t xml:space="preserve">  EQUIPO DE COMUNICACIÓN</t>
  </si>
  <si>
    <t xml:space="preserve">  EQUIPO DE CÓMPUTO PARA COMUNICACIÓN Y TELECOMUNICACIÓN</t>
  </si>
  <si>
    <t xml:space="preserve">  EQUIPO ELÉCTRICO PARA COMUNICACIÓN Y TELECOMUNICACIÓN</t>
  </si>
  <si>
    <t xml:space="preserve"> HERRAMIENTAS PARA MANTENIMIENTO Y SEGURIDAD</t>
  </si>
  <si>
    <t>LOTE</t>
  </si>
  <si>
    <t xml:space="preserve">  MATERIAL ELÉCTRICO PARA COMUNICACIÓN</t>
  </si>
  <si>
    <t>PRODUCTOS COMPLEMENTARIOS DE ORIGEN FORESTAL</t>
  </si>
  <si>
    <t xml:space="preserve"> PRODUCTOS COMPLEMENTARIOS DE ORIGEN MINERAL</t>
  </si>
  <si>
    <t xml:space="preserve">  OTROS MATERIALES DE MANTENIMIENTO Y SEGURIDAD PARA CONSTRUCCIÓN Y REPARACIÓN</t>
  </si>
  <si>
    <t xml:space="preserve">  OTROS PRODUCTOS MINERALES PARA CONSTRUCCIÓN Y REPARACIÓN</t>
  </si>
  <si>
    <t xml:space="preserve">  ARTÍCULOS PARA SERVICIOS GENERALES PARA SEGURIDAD Y PROTECCIÓN PERSONAL</t>
  </si>
  <si>
    <t>ARTÍCULOS PARA SEGURIDAD Y PROTECCIÓN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</si>
</sst>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;\-&quot;$&quot;#,##0.00"/>
    <numFmt numFmtId="44" formatCode="_-&quot;$&quot;* #,##0.00_-;\-&quot;$&quot;* #,##0.00_-;_-&quot;$&quot;* &quot;-&quot;??_-;_-@_-"/>
    <numFmt numFmtId="164" formatCode="#,##0.00;[Red]#,##0.00"/>
    <numFmt numFmtId="165" formatCode="0;[Red]0"/>
    <numFmt numFmtId="166" formatCode="#,##0;[Red]#,##0"/>
    <numFmt numFmtId="167" formatCode="&quot;$&quot;#,##0.00"/>
    <numFmt numFmtId="168" formatCode="#,##0.000000000000000"/>
    <numFmt numFmtId="169" formatCode="#,##0.00000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285C4D"/>
      <name val="Arial"/>
      <family val="2"/>
    </font>
    <font>
      <b/>
      <sz val="8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b/>
      <sz val="8"/>
      <color theme="0"/>
      <name val="Arial"/>
      <family val="2"/>
    </font>
    <font>
      <b/>
      <sz val="7"/>
      <color theme="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8"/>
      <color rgb="FF484848"/>
      <name val="Arial"/>
      <family val="2"/>
    </font>
    <font>
      <b/>
      <sz val="7"/>
      <color theme="1"/>
      <name val="Arial"/>
      <family val="2"/>
    </font>
    <font>
      <b/>
      <sz val="11"/>
      <color theme="1"/>
      <name val="Montserrat"/>
    </font>
  </fonts>
  <fills count="11">
    <fill>
      <patternFill patternType="none"/>
    </fill>
    <fill>
      <patternFill patternType="gray125"/>
    </fill>
    <fill>
      <patternFill patternType="solid">
        <fgColor rgb="FF56242A"/>
        <bgColor indexed="64"/>
      </patternFill>
    </fill>
    <fill>
      <patternFill patternType="solid">
        <fgColor rgb="FF285C4D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0EC67"/>
        <bgColor indexed="64"/>
      </patternFill>
    </fill>
    <fill>
      <patternFill patternType="solid">
        <fgColor rgb="FFDEBD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164" fontId="8" fillId="4" borderId="10" xfId="0" applyNumberFormat="1" applyFont="1" applyFill="1" applyBorder="1" applyAlignment="1">
      <alignment horizontal="right" vertical="center" wrapText="1"/>
    </xf>
    <xf numFmtId="164" fontId="8" fillId="0" borderId="10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10" fillId="4" borderId="1" xfId="0" applyNumberFormat="1" applyFont="1" applyFill="1" applyBorder="1" applyAlignment="1">
      <alignment horizontal="right" vertical="center" wrapText="1"/>
    </xf>
    <xf numFmtId="0" fontId="10" fillId="5" borderId="1" xfId="0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right" vertical="center" wrapText="1"/>
    </xf>
    <xf numFmtId="164" fontId="10" fillId="6" borderId="1" xfId="0" applyNumberFormat="1" applyFont="1" applyFill="1" applyBorder="1" applyAlignment="1">
      <alignment horizontal="right" vertical="center" wrapText="1"/>
    </xf>
    <xf numFmtId="164" fontId="10" fillId="7" borderId="1" xfId="0" applyNumberFormat="1" applyFont="1" applyFill="1" applyBorder="1" applyAlignment="1">
      <alignment horizontal="right" vertical="center" wrapText="1"/>
    </xf>
    <xf numFmtId="164" fontId="10" fillId="8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7" fontId="10" fillId="0" borderId="10" xfId="1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7" fontId="10" fillId="0" borderId="1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7" fontId="3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7" fontId="10" fillId="0" borderId="1" xfId="1" applyNumberFormat="1" applyFont="1" applyBorder="1" applyAlignment="1">
      <alignment horizontal="right" vertical="center"/>
    </xf>
    <xf numFmtId="0" fontId="10" fillId="9" borderId="1" xfId="0" applyFont="1" applyFill="1" applyBorder="1" applyAlignment="1">
      <alignment horizontal="left" vertical="center" wrapText="1"/>
    </xf>
    <xf numFmtId="7" fontId="10" fillId="0" borderId="1" xfId="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2" fontId="3" fillId="0" borderId="1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64" fontId="10" fillId="8" borderId="0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center" vertical="center" wrapText="1"/>
    </xf>
    <xf numFmtId="164" fontId="10" fillId="9" borderId="1" xfId="0" applyNumberFormat="1" applyFont="1" applyFill="1" applyBorder="1" applyAlignment="1">
      <alignment horizontal="right" vertical="center" wrapText="1"/>
    </xf>
    <xf numFmtId="164" fontId="10" fillId="9" borderId="0" xfId="0" applyNumberFormat="1" applyFont="1" applyFill="1" applyBorder="1" applyAlignment="1">
      <alignment horizontal="right" vertical="center" wrapText="1"/>
    </xf>
    <xf numFmtId="0" fontId="3" fillId="9" borderId="0" xfId="0" applyFont="1" applyFill="1" applyAlignment="1">
      <alignment vertical="center"/>
    </xf>
    <xf numFmtId="165" fontId="10" fillId="0" borderId="1" xfId="0" applyNumberFormat="1" applyFont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164" fontId="10" fillId="10" borderId="1" xfId="0" applyNumberFormat="1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textRotation="90" wrapText="1"/>
    </xf>
    <xf numFmtId="164" fontId="10" fillId="8" borderId="2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7" fontId="10" fillId="9" borderId="1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vertical="center"/>
    </xf>
    <xf numFmtId="7" fontId="10" fillId="9" borderId="10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166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10" fillId="5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textRotation="90" wrapText="1"/>
    </xf>
    <xf numFmtId="0" fontId="10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right" vertical="center" wrapText="1"/>
    </xf>
    <xf numFmtId="164" fontId="10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10" fillId="5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7" fontId="10" fillId="5" borderId="1" xfId="1" applyNumberFormat="1" applyFont="1" applyFill="1" applyBorder="1" applyAlignment="1">
      <alignment horizontal="right" vertical="center"/>
    </xf>
    <xf numFmtId="7" fontId="10" fillId="4" borderId="10" xfId="1" applyNumberFormat="1" applyFont="1" applyFill="1" applyBorder="1" applyAlignment="1">
      <alignment horizontal="right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right" vertical="center"/>
    </xf>
    <xf numFmtId="164" fontId="10" fillId="5" borderId="2" xfId="0" applyNumberFormat="1" applyFont="1" applyFill="1" applyBorder="1" applyAlignment="1">
      <alignment horizontal="right" vertical="center" wrapText="1"/>
    </xf>
    <xf numFmtId="0" fontId="3" fillId="8" borderId="0" xfId="0" applyFont="1" applyFill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justify" vertical="center" wrapText="1"/>
    </xf>
    <xf numFmtId="0" fontId="9" fillId="5" borderId="12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164" fontId="10" fillId="4" borderId="0" xfId="0" applyNumberFormat="1" applyFont="1" applyFill="1" applyBorder="1" applyAlignment="1">
      <alignment horizontal="right" vertical="center" wrapText="1"/>
    </xf>
    <xf numFmtId="164" fontId="3" fillId="6" borderId="0" xfId="0" applyNumberFormat="1" applyFont="1" applyFill="1" applyAlignment="1">
      <alignment vertical="center"/>
    </xf>
    <xf numFmtId="164" fontId="3" fillId="8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10" borderId="2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4" fontId="3" fillId="9" borderId="0" xfId="0" applyNumberFormat="1" applyFont="1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7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7" fontId="3" fillId="0" borderId="0" xfId="0" applyNumberFormat="1" applyFont="1" applyFill="1" applyAlignment="1">
      <alignment vertical="center"/>
    </xf>
    <xf numFmtId="0" fontId="10" fillId="10" borderId="1" xfId="0" applyFont="1" applyFill="1" applyBorder="1" applyAlignment="1">
      <alignment vertical="center" wrapText="1"/>
    </xf>
    <xf numFmtId="7" fontId="10" fillId="10" borderId="1" xfId="1" applyNumberFormat="1" applyFont="1" applyFill="1" applyBorder="1" applyAlignment="1">
      <alignment horizontal="right" vertical="center"/>
    </xf>
    <xf numFmtId="7" fontId="10" fillId="10" borderId="10" xfId="1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justify" vertical="center" wrapText="1"/>
    </xf>
    <xf numFmtId="0" fontId="12" fillId="10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68" fontId="3" fillId="0" borderId="0" xfId="0" applyNumberFormat="1" applyFont="1" applyAlignment="1">
      <alignment vertical="center"/>
    </xf>
    <xf numFmtId="164" fontId="10" fillId="0" borderId="2" xfId="0" applyNumberFormat="1" applyFont="1" applyFill="1" applyBorder="1" applyAlignment="1">
      <alignment horizontal="right" vertical="center" wrapText="1"/>
    </xf>
    <xf numFmtId="169" fontId="3" fillId="0" borderId="0" xfId="0" applyNumberFormat="1" applyFont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7144</xdr:colOff>
      <xdr:row>0</xdr:row>
      <xdr:rowOff>50007</xdr:rowOff>
    </xdr:from>
    <xdr:to>
      <xdr:col>3</xdr:col>
      <xdr:colOff>676275</xdr:colOff>
      <xdr:row>3</xdr:row>
      <xdr:rowOff>36472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E94E6E-A977-4B9A-B807-1F2B0326D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769" y="50007"/>
          <a:ext cx="3298031" cy="700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616"/>
  <sheetViews>
    <sheetView tabSelected="1" zoomScaleNormal="100" workbookViewId="0">
      <selection sqref="A1:AK617"/>
    </sheetView>
  </sheetViews>
  <sheetFormatPr baseColWidth="10" defaultRowHeight="11.25" x14ac:dyDescent="0.25"/>
  <cols>
    <col min="1" max="1" width="6.42578125" style="1" customWidth="1"/>
    <col min="2" max="2" width="15.85546875" style="1" customWidth="1"/>
    <col min="3" max="3" width="23.5703125" style="1" customWidth="1"/>
    <col min="4" max="4" width="12.42578125" style="1" customWidth="1"/>
    <col min="5" max="5" width="16.140625" style="1" customWidth="1"/>
    <col min="6" max="6" width="15.5703125" style="1" customWidth="1"/>
    <col min="7" max="7" width="18" style="1" customWidth="1"/>
    <col min="8" max="8" width="14.7109375" style="1" customWidth="1"/>
    <col min="9" max="9" width="11.42578125" style="102" customWidth="1"/>
    <col min="10" max="10" width="11.42578125" style="1" customWidth="1"/>
    <col min="11" max="11" width="14.28515625" style="1" customWidth="1"/>
    <col min="12" max="12" width="14.7109375" style="1" customWidth="1"/>
    <col min="13" max="13" width="14.7109375" style="1" hidden="1" customWidth="1"/>
    <col min="14" max="14" width="15.5703125" style="1" hidden="1" customWidth="1"/>
    <col min="15" max="15" width="13.28515625" style="1" hidden="1" customWidth="1"/>
    <col min="16" max="16" width="18" style="1" hidden="1" customWidth="1"/>
    <col min="17" max="17" width="12" style="1" hidden="1" customWidth="1"/>
    <col min="18" max="18" width="14.5703125" style="1" hidden="1" customWidth="1"/>
    <col min="19" max="19" width="13.28515625" style="1" hidden="1" customWidth="1"/>
    <col min="20" max="20" width="14.5703125" style="103" hidden="1" customWidth="1"/>
    <col min="21" max="21" width="12.85546875" style="1" hidden="1" customWidth="1"/>
    <col min="22" max="22" width="16.7109375" style="1" hidden="1" customWidth="1"/>
    <col min="23" max="23" width="13.42578125" style="1" hidden="1" customWidth="1"/>
    <col min="24" max="24" width="17.7109375" style="103" hidden="1" customWidth="1"/>
    <col min="25" max="25" width="14.85546875" style="1" hidden="1" customWidth="1"/>
    <col min="26" max="26" width="16.42578125" style="103" hidden="1" customWidth="1"/>
    <col min="27" max="27" width="14" style="1" hidden="1" customWidth="1"/>
    <col min="28" max="28" width="16.85546875" style="103" hidden="1" customWidth="1"/>
    <col min="29" max="29" width="12.42578125" style="1" hidden="1" customWidth="1"/>
    <col min="30" max="30" width="17.42578125" style="1" hidden="1" customWidth="1"/>
    <col min="31" max="31" width="14.85546875" style="1" hidden="1" customWidth="1"/>
    <col min="32" max="32" width="15.5703125" style="1" hidden="1" customWidth="1"/>
    <col min="33" max="33" width="13.85546875" style="1" hidden="1" customWidth="1"/>
    <col min="34" max="34" width="16.28515625" style="1" hidden="1" customWidth="1"/>
    <col min="35" max="35" width="14.28515625" style="1" hidden="1" customWidth="1"/>
    <col min="36" max="36" width="14.85546875" style="1" hidden="1" customWidth="1"/>
    <col min="37" max="37" width="12.140625" style="1" hidden="1" customWidth="1"/>
    <col min="38" max="38" width="14.7109375" style="1" hidden="1" customWidth="1"/>
    <col min="39" max="39" width="11.42578125" style="108"/>
    <col min="40" max="40" width="15.140625" style="106" bestFit="1" customWidth="1"/>
    <col min="41" max="16384" width="11.42578125" style="1"/>
  </cols>
  <sheetData>
    <row r="1" spans="2:38" ht="18.75" customHeight="1" x14ac:dyDescent="0.25">
      <c r="B1" s="132"/>
      <c r="C1" s="132"/>
      <c r="D1" s="132"/>
      <c r="E1" s="161" t="s">
        <v>0</v>
      </c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</row>
    <row r="2" spans="2:38" ht="18.75" customHeight="1" x14ac:dyDescent="0.25">
      <c r="B2" s="132"/>
      <c r="C2" s="132"/>
      <c r="D2" s="132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3" t="s">
        <v>1</v>
      </c>
      <c r="AI2" s="163"/>
      <c r="AJ2" s="141"/>
      <c r="AK2" s="142"/>
    </row>
    <row r="3" spans="2:38" ht="18.75" customHeight="1" x14ac:dyDescent="0.25">
      <c r="B3" s="132"/>
      <c r="C3" s="132"/>
      <c r="D3" s="132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2" t="s">
        <v>2</v>
      </c>
      <c r="AI3" s="2"/>
      <c r="AJ3" s="141"/>
      <c r="AK3" s="142"/>
    </row>
    <row r="4" spans="2:38" ht="18.75" customHeight="1" x14ac:dyDescent="0.25">
      <c r="B4" s="132"/>
      <c r="C4" s="132"/>
      <c r="D4" s="132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2" t="s">
        <v>3</v>
      </c>
      <c r="AI4" s="2"/>
      <c r="AJ4" s="141"/>
      <c r="AK4" s="142"/>
    </row>
    <row r="5" spans="2:38" ht="18.75" customHeight="1" x14ac:dyDescent="0.25">
      <c r="B5" s="132"/>
      <c r="C5" s="132"/>
      <c r="D5" s="132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2" t="s">
        <v>4</v>
      </c>
      <c r="AI5" s="2"/>
      <c r="AJ5" s="141"/>
      <c r="AK5" s="142"/>
    </row>
    <row r="6" spans="2:38" ht="24" customHeight="1" x14ac:dyDescent="0.25">
      <c r="B6" s="129" t="s">
        <v>5</v>
      </c>
      <c r="C6" s="129" t="s">
        <v>6</v>
      </c>
      <c r="D6" s="129" t="s">
        <v>7</v>
      </c>
      <c r="E6" s="129" t="s">
        <v>8</v>
      </c>
      <c r="F6" s="129" t="s">
        <v>9</v>
      </c>
      <c r="G6" s="129" t="s">
        <v>10</v>
      </c>
      <c r="H6" s="129" t="s">
        <v>11</v>
      </c>
      <c r="I6" s="133" t="s">
        <v>12</v>
      </c>
      <c r="J6" s="134"/>
      <c r="K6" s="130" t="s">
        <v>13</v>
      </c>
      <c r="L6" s="129" t="s">
        <v>14</v>
      </c>
      <c r="M6" s="3"/>
      <c r="N6" s="137" t="s">
        <v>15</v>
      </c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</row>
    <row r="7" spans="2:38" ht="27.75" customHeight="1" x14ac:dyDescent="0.25">
      <c r="B7" s="130"/>
      <c r="C7" s="130"/>
      <c r="D7" s="130"/>
      <c r="E7" s="130"/>
      <c r="F7" s="130"/>
      <c r="G7" s="130"/>
      <c r="H7" s="130"/>
      <c r="I7" s="133"/>
      <c r="J7" s="134"/>
      <c r="K7" s="130"/>
      <c r="L7" s="130"/>
      <c r="M7" s="4"/>
      <c r="N7" s="157" t="s">
        <v>16</v>
      </c>
      <c r="O7" s="157" t="s">
        <v>17</v>
      </c>
      <c r="P7" s="157" t="s">
        <v>18</v>
      </c>
      <c r="Q7" s="157" t="s">
        <v>19</v>
      </c>
      <c r="R7" s="157" t="s">
        <v>20</v>
      </c>
      <c r="S7" s="157" t="s">
        <v>21</v>
      </c>
      <c r="T7" s="157" t="s">
        <v>22</v>
      </c>
      <c r="U7" s="159" t="s">
        <v>23</v>
      </c>
      <c r="V7" s="157" t="s">
        <v>24</v>
      </c>
      <c r="W7" s="157" t="s">
        <v>25</v>
      </c>
      <c r="X7" s="157" t="s">
        <v>26</v>
      </c>
      <c r="Y7" s="157" t="s">
        <v>27</v>
      </c>
      <c r="Z7" s="159" t="s">
        <v>28</v>
      </c>
      <c r="AA7" s="159" t="s">
        <v>29</v>
      </c>
      <c r="AB7" s="157" t="s">
        <v>30</v>
      </c>
      <c r="AC7" s="157" t="s">
        <v>31</v>
      </c>
      <c r="AD7" s="159" t="s">
        <v>32</v>
      </c>
      <c r="AE7" s="159" t="s">
        <v>33</v>
      </c>
      <c r="AF7" s="157" t="s">
        <v>34</v>
      </c>
      <c r="AG7" s="157" t="s">
        <v>35</v>
      </c>
      <c r="AH7" s="157" t="s">
        <v>36</v>
      </c>
      <c r="AI7" s="157" t="s">
        <v>37</v>
      </c>
      <c r="AJ7" s="157" t="s">
        <v>38</v>
      </c>
      <c r="AK7" s="157" t="s">
        <v>39</v>
      </c>
    </row>
    <row r="8" spans="2:38" ht="23.25" customHeight="1" x14ac:dyDescent="0.25">
      <c r="B8" s="131"/>
      <c r="C8" s="131"/>
      <c r="D8" s="131"/>
      <c r="E8" s="131"/>
      <c r="F8" s="131"/>
      <c r="G8" s="131"/>
      <c r="H8" s="131"/>
      <c r="I8" s="135"/>
      <c r="J8" s="136"/>
      <c r="K8" s="131"/>
      <c r="L8" s="131"/>
      <c r="M8" s="5"/>
      <c r="N8" s="158"/>
      <c r="O8" s="158"/>
      <c r="P8" s="158"/>
      <c r="Q8" s="158"/>
      <c r="R8" s="157"/>
      <c r="S8" s="157"/>
      <c r="T8" s="158"/>
      <c r="U8" s="162"/>
      <c r="V8" s="157"/>
      <c r="W8" s="157"/>
      <c r="X8" s="158"/>
      <c r="Y8" s="158"/>
      <c r="Z8" s="160"/>
      <c r="AA8" s="160"/>
      <c r="AB8" s="158"/>
      <c r="AC8" s="158"/>
      <c r="AD8" s="160"/>
      <c r="AE8" s="160"/>
      <c r="AF8" s="157"/>
      <c r="AG8" s="157"/>
      <c r="AH8" s="157"/>
      <c r="AI8" s="157"/>
      <c r="AJ8" s="157"/>
      <c r="AK8" s="157"/>
    </row>
    <row r="9" spans="2:38" ht="12" x14ac:dyDescent="0.25">
      <c r="B9" s="6"/>
      <c r="C9" s="6"/>
      <c r="D9" s="6"/>
      <c r="E9" s="6"/>
      <c r="F9" s="6"/>
      <c r="G9" s="6"/>
      <c r="H9" s="6"/>
      <c r="I9" s="7"/>
      <c r="J9" s="8"/>
      <c r="K9" s="6"/>
      <c r="L9" s="9">
        <f>L10+L455+L576</f>
        <v>14309576.750003638</v>
      </c>
      <c r="M9" s="10" t="e">
        <f>M10+M455+M576</f>
        <v>#REF!</v>
      </c>
      <c r="N9" s="11"/>
      <c r="O9" s="11"/>
      <c r="P9" s="11"/>
      <c r="Q9" s="11"/>
      <c r="R9" s="11"/>
      <c r="S9" s="11"/>
      <c r="T9" s="12"/>
      <c r="U9" s="11"/>
      <c r="V9" s="11"/>
      <c r="W9" s="11"/>
      <c r="X9" s="12"/>
      <c r="Y9" s="11"/>
      <c r="Z9" s="12"/>
      <c r="AA9" s="13"/>
      <c r="AB9" s="12"/>
      <c r="AC9" s="11"/>
      <c r="AD9" s="11"/>
      <c r="AE9" s="11"/>
      <c r="AF9" s="11"/>
      <c r="AG9" s="11"/>
      <c r="AH9" s="11"/>
      <c r="AI9" s="11"/>
      <c r="AJ9" s="11"/>
      <c r="AK9" s="11"/>
    </row>
    <row r="10" spans="2:38" x14ac:dyDescent="0.25">
      <c r="B10" s="14">
        <v>2000</v>
      </c>
      <c r="C10" s="14"/>
      <c r="D10" s="14"/>
      <c r="E10" s="14"/>
      <c r="F10" s="14"/>
      <c r="G10" s="14"/>
      <c r="H10" s="14"/>
      <c r="I10" s="15"/>
      <c r="J10" s="16"/>
      <c r="K10" s="17"/>
      <c r="L10" s="18">
        <f>L11+L178+L202+L314+L328+L334+L359</f>
        <v>3313130.399603636</v>
      </c>
      <c r="M10" s="17" t="e">
        <f>M11+M178+M202+M314+M328+M334+M359</f>
        <v>#REF!</v>
      </c>
      <c r="N10" s="11"/>
      <c r="O10" s="11"/>
      <c r="P10" s="11"/>
      <c r="Q10" s="11"/>
      <c r="R10" s="11"/>
      <c r="S10" s="11"/>
      <c r="T10" s="12"/>
      <c r="U10" s="11"/>
      <c r="V10" s="11"/>
      <c r="W10" s="11"/>
      <c r="X10" s="12"/>
      <c r="Y10" s="11"/>
      <c r="Z10" s="12"/>
      <c r="AA10" s="13"/>
      <c r="AB10" s="12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2:38" x14ac:dyDescent="0.25">
      <c r="B11" s="14">
        <v>21000</v>
      </c>
      <c r="C11" s="14"/>
      <c r="D11" s="14"/>
      <c r="E11" s="14"/>
      <c r="F11" s="14"/>
      <c r="G11" s="14"/>
      <c r="H11" s="14"/>
      <c r="I11" s="15"/>
      <c r="J11" s="16"/>
      <c r="K11" s="17"/>
      <c r="L11" s="18">
        <f>L12+L102+L106+L140+L145+L176</f>
        <v>1088858.8954436362</v>
      </c>
      <c r="M11" s="17" t="e">
        <f>M12+M106+#REF!+M145</f>
        <v>#REF!</v>
      </c>
      <c r="N11" s="11"/>
      <c r="O11" s="11"/>
      <c r="P11" s="11"/>
      <c r="Q11" s="11"/>
      <c r="R11" s="11"/>
      <c r="S11" s="11"/>
      <c r="T11" s="12"/>
      <c r="U11" s="11"/>
      <c r="V11" s="11"/>
      <c r="W11" s="11"/>
      <c r="X11" s="12"/>
      <c r="Y11" s="11"/>
      <c r="Z11" s="12"/>
      <c r="AA11" s="13"/>
      <c r="AB11" s="12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2:38" x14ac:dyDescent="0.25">
      <c r="B12" s="19">
        <v>21100</v>
      </c>
      <c r="C12" s="19"/>
      <c r="D12" s="19"/>
      <c r="E12" s="19"/>
      <c r="F12" s="19"/>
      <c r="G12" s="19"/>
      <c r="H12" s="19"/>
      <c r="I12" s="145"/>
      <c r="J12" s="146"/>
      <c r="K12" s="20"/>
      <c r="L12" s="21">
        <f>+L13+L14+L63+L98+L60+L61+L62</f>
        <v>449554.92700363632</v>
      </c>
      <c r="M12" s="20">
        <f>M14+M63+M98</f>
        <v>205006</v>
      </c>
      <c r="N12" s="11"/>
      <c r="O12" s="11"/>
      <c r="P12" s="11"/>
      <c r="Q12" s="11"/>
      <c r="R12" s="11"/>
      <c r="S12" s="11"/>
      <c r="T12" s="12"/>
      <c r="U12" s="11"/>
      <c r="V12" s="11"/>
      <c r="W12" s="11"/>
      <c r="X12" s="12"/>
      <c r="Y12" s="11"/>
      <c r="Z12" s="12"/>
      <c r="AA12" s="13"/>
      <c r="AB12" s="12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2:38" ht="46.5" customHeight="1" x14ac:dyDescent="0.25">
      <c r="B13" s="26">
        <v>21101</v>
      </c>
      <c r="C13" s="26" t="s">
        <v>494</v>
      </c>
      <c r="D13" s="26"/>
      <c r="E13" s="26">
        <v>1</v>
      </c>
      <c r="F13" s="26" t="s">
        <v>49</v>
      </c>
      <c r="G13" s="27" t="s">
        <v>42</v>
      </c>
      <c r="H13" s="28" t="s">
        <v>43</v>
      </c>
      <c r="I13" s="143" t="s">
        <v>44</v>
      </c>
      <c r="J13" s="144"/>
      <c r="K13" s="81">
        <v>1</v>
      </c>
      <c r="L13" s="81">
        <f>+E13*K13</f>
        <v>1</v>
      </c>
      <c r="M13" s="20"/>
      <c r="N13" s="11"/>
      <c r="O13" s="11"/>
      <c r="P13" s="11"/>
      <c r="Q13" s="11"/>
      <c r="R13" s="11"/>
      <c r="S13" s="11"/>
      <c r="T13" s="12"/>
      <c r="U13" s="11"/>
      <c r="V13" s="11"/>
      <c r="W13" s="11"/>
      <c r="X13" s="12"/>
      <c r="Y13" s="11"/>
      <c r="Z13" s="12"/>
      <c r="AA13" s="13"/>
      <c r="AB13" s="12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2:38" x14ac:dyDescent="0.25">
      <c r="B14" s="19">
        <v>21102</v>
      </c>
      <c r="C14" s="19"/>
      <c r="D14" s="19"/>
      <c r="E14" s="19"/>
      <c r="F14" s="19"/>
      <c r="G14" s="19"/>
      <c r="H14" s="19"/>
      <c r="I14" s="145"/>
      <c r="J14" s="146"/>
      <c r="K14" s="20"/>
      <c r="L14" s="22">
        <f>SUM(L15:L59)</f>
        <v>197960.34496363634</v>
      </c>
      <c r="M14" s="23">
        <v>100003</v>
      </c>
      <c r="N14" s="11"/>
      <c r="O14" s="24"/>
      <c r="P14" s="11"/>
      <c r="Q14" s="11"/>
      <c r="R14" s="11"/>
      <c r="S14" s="11"/>
      <c r="T14" s="12"/>
      <c r="U14" s="11"/>
      <c r="V14" s="11"/>
      <c r="W14" s="11"/>
      <c r="X14" s="12"/>
      <c r="Y14" s="11"/>
      <c r="Z14" s="12"/>
      <c r="AA14" s="13"/>
      <c r="AB14" s="12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2:38" ht="30" customHeight="1" x14ac:dyDescent="0.25">
      <c r="B15" s="14">
        <v>21102</v>
      </c>
      <c r="C15" s="25" t="s">
        <v>40</v>
      </c>
      <c r="D15" s="14">
        <v>0</v>
      </c>
      <c r="E15" s="26">
        <v>130</v>
      </c>
      <c r="F15" s="14" t="s">
        <v>41</v>
      </c>
      <c r="G15" s="27" t="s">
        <v>42</v>
      </c>
      <c r="H15" s="28" t="s">
        <v>43</v>
      </c>
      <c r="I15" s="143" t="s">
        <v>44</v>
      </c>
      <c r="J15" s="144"/>
      <c r="K15" s="29">
        <f>49.08*1.1</f>
        <v>53.988</v>
      </c>
      <c r="L15" s="29">
        <f t="shared" ref="L15:L59" si="0">E15*K15</f>
        <v>7018.44</v>
      </c>
      <c r="M15" s="30"/>
      <c r="N15" s="30"/>
      <c r="O15" s="30"/>
      <c r="P15" s="30"/>
      <c r="Q15" s="27"/>
      <c r="R15" s="27"/>
      <c r="S15" s="30"/>
      <c r="T15" s="14">
        <v>38</v>
      </c>
      <c r="U15" s="31">
        <f t="shared" ref="U15:U59" si="1">T15*K15</f>
        <v>2051.5439999999999</v>
      </c>
      <c r="V15" s="11"/>
      <c r="W15" s="30"/>
      <c r="X15" s="30"/>
      <c r="Y15" s="32"/>
      <c r="Z15" s="32"/>
      <c r="AA15" s="30"/>
      <c r="AB15" s="14">
        <v>37</v>
      </c>
      <c r="AC15" s="31">
        <f>K15*AB15</f>
        <v>1997.556</v>
      </c>
      <c r="AD15" s="32"/>
      <c r="AE15" s="27"/>
      <c r="AF15" s="27"/>
      <c r="AG15" s="27"/>
      <c r="AH15" s="27"/>
      <c r="AI15" s="27"/>
      <c r="AJ15" s="27"/>
      <c r="AK15" s="11"/>
      <c r="AL15" s="33">
        <f>O15+Q15+S15+U15+W15+Y15+AA15+AC15+AE15+AG15+AI15+AK15</f>
        <v>4049.1</v>
      </c>
    </row>
    <row r="16" spans="2:38" ht="30" customHeight="1" x14ac:dyDescent="0.25">
      <c r="B16" s="14">
        <v>21102</v>
      </c>
      <c r="C16" s="25" t="s">
        <v>45</v>
      </c>
      <c r="D16" s="14">
        <v>0</v>
      </c>
      <c r="E16" s="26">
        <v>65</v>
      </c>
      <c r="F16" s="14" t="s">
        <v>41</v>
      </c>
      <c r="G16" s="27" t="s">
        <v>42</v>
      </c>
      <c r="H16" s="28" t="s">
        <v>43</v>
      </c>
      <c r="I16" s="143" t="s">
        <v>44</v>
      </c>
      <c r="J16" s="144"/>
      <c r="K16" s="29">
        <f>48.95*1.1</f>
        <v>53.845000000000006</v>
      </c>
      <c r="L16" s="29">
        <f t="shared" si="0"/>
        <v>3499.9250000000002</v>
      </c>
      <c r="M16" s="30"/>
      <c r="N16" s="30"/>
      <c r="O16" s="30"/>
      <c r="P16" s="30"/>
      <c r="Q16" s="27"/>
      <c r="R16" s="27"/>
      <c r="S16" s="30"/>
      <c r="T16" s="14">
        <v>19</v>
      </c>
      <c r="U16" s="31">
        <f t="shared" si="1"/>
        <v>1023.0550000000001</v>
      </c>
      <c r="V16" s="11"/>
      <c r="W16" s="30"/>
      <c r="X16" s="30"/>
      <c r="Y16" s="32"/>
      <c r="Z16" s="32"/>
      <c r="AA16" s="30"/>
      <c r="AB16" s="14">
        <v>18</v>
      </c>
      <c r="AC16" s="31">
        <f t="shared" ref="AC16:AC59" si="2">K16*AB16</f>
        <v>969.21000000000015</v>
      </c>
      <c r="AD16" s="32"/>
      <c r="AE16" s="27"/>
      <c r="AF16" s="27"/>
      <c r="AG16" s="27"/>
      <c r="AH16" s="27"/>
      <c r="AI16" s="27"/>
      <c r="AJ16" s="27"/>
      <c r="AK16" s="11"/>
      <c r="AL16" s="33">
        <f t="shared" ref="AL16:AL82" si="3">O16+Q16+S16+U16+W16+Y16+AA16+AC16+AE16+AG16+AI16+AK16</f>
        <v>1992.2650000000003</v>
      </c>
    </row>
    <row r="17" spans="2:38" ht="30" customHeight="1" x14ac:dyDescent="0.25">
      <c r="B17" s="14">
        <v>21102</v>
      </c>
      <c r="C17" s="25" t="s">
        <v>46</v>
      </c>
      <c r="D17" s="14">
        <v>0</v>
      </c>
      <c r="E17" s="26">
        <v>70</v>
      </c>
      <c r="F17" s="14" t="s">
        <v>41</v>
      </c>
      <c r="G17" s="27" t="s">
        <v>42</v>
      </c>
      <c r="H17" s="28" t="s">
        <v>43</v>
      </c>
      <c r="I17" s="143" t="s">
        <v>44</v>
      </c>
      <c r="J17" s="144"/>
      <c r="K17" s="29">
        <f>48.95*1.1</f>
        <v>53.845000000000006</v>
      </c>
      <c r="L17" s="29">
        <f t="shared" si="0"/>
        <v>3769.1500000000005</v>
      </c>
      <c r="M17" s="34"/>
      <c r="N17" s="35"/>
      <c r="O17" s="35"/>
      <c r="P17" s="35"/>
      <c r="Q17" s="35"/>
      <c r="R17" s="35"/>
      <c r="S17" s="35"/>
      <c r="T17" s="14">
        <v>16</v>
      </c>
      <c r="U17" s="31">
        <f t="shared" si="1"/>
        <v>861.5200000000001</v>
      </c>
      <c r="V17" s="11"/>
      <c r="W17" s="35"/>
      <c r="X17" s="34"/>
      <c r="Y17" s="35"/>
      <c r="Z17" s="34"/>
      <c r="AA17" s="35"/>
      <c r="AB17" s="14">
        <v>16</v>
      </c>
      <c r="AC17" s="31">
        <f t="shared" si="2"/>
        <v>861.5200000000001</v>
      </c>
      <c r="AD17" s="35"/>
      <c r="AE17" s="35"/>
      <c r="AF17" s="35"/>
      <c r="AG17" s="35"/>
      <c r="AH17" s="35"/>
      <c r="AI17" s="35"/>
      <c r="AJ17" s="35"/>
      <c r="AK17" s="11"/>
      <c r="AL17" s="33">
        <f t="shared" si="3"/>
        <v>1723.0400000000002</v>
      </c>
    </row>
    <row r="18" spans="2:38" ht="30" customHeight="1" x14ac:dyDescent="0.25">
      <c r="B18" s="14">
        <v>21102</v>
      </c>
      <c r="C18" s="25" t="s">
        <v>47</v>
      </c>
      <c r="D18" s="14">
        <v>0</v>
      </c>
      <c r="E18" s="26">
        <v>25</v>
      </c>
      <c r="F18" s="14" t="s">
        <v>41</v>
      </c>
      <c r="G18" s="27" t="s">
        <v>42</v>
      </c>
      <c r="H18" s="28" t="s">
        <v>43</v>
      </c>
      <c r="I18" s="143" t="s">
        <v>44</v>
      </c>
      <c r="J18" s="144"/>
      <c r="K18" s="29">
        <v>240</v>
      </c>
      <c r="L18" s="29">
        <f t="shared" si="0"/>
        <v>6000</v>
      </c>
      <c r="M18" s="34"/>
      <c r="N18" s="35"/>
      <c r="O18" s="35"/>
      <c r="P18" s="35"/>
      <c r="Q18" s="35"/>
      <c r="R18" s="35"/>
      <c r="S18" s="35"/>
      <c r="T18" s="14">
        <f>E18</f>
        <v>25</v>
      </c>
      <c r="U18" s="31">
        <f t="shared" si="1"/>
        <v>6000</v>
      </c>
      <c r="V18" s="11"/>
      <c r="W18" s="35"/>
      <c r="X18" s="34"/>
      <c r="Y18" s="35"/>
      <c r="Z18" s="34"/>
      <c r="AA18" s="35"/>
      <c r="AB18" s="14">
        <f>M18</f>
        <v>0</v>
      </c>
      <c r="AC18" s="31">
        <f t="shared" si="2"/>
        <v>0</v>
      </c>
      <c r="AD18" s="35"/>
      <c r="AE18" s="35"/>
      <c r="AF18" s="35"/>
      <c r="AG18" s="35"/>
      <c r="AH18" s="35"/>
      <c r="AI18" s="35"/>
      <c r="AJ18" s="35"/>
      <c r="AK18" s="11"/>
      <c r="AL18" s="33">
        <f t="shared" si="3"/>
        <v>6000</v>
      </c>
    </row>
    <row r="19" spans="2:38" ht="30.2" customHeight="1" x14ac:dyDescent="0.25">
      <c r="B19" s="14">
        <v>21102</v>
      </c>
      <c r="C19" s="25" t="s">
        <v>48</v>
      </c>
      <c r="D19" s="14">
        <v>0</v>
      </c>
      <c r="E19" s="26">
        <v>32</v>
      </c>
      <c r="F19" s="14" t="s">
        <v>49</v>
      </c>
      <c r="G19" s="27" t="s">
        <v>42</v>
      </c>
      <c r="H19" s="28" t="s">
        <v>43</v>
      </c>
      <c r="I19" s="143" t="s">
        <v>44</v>
      </c>
      <c r="J19" s="144"/>
      <c r="K19" s="36">
        <f>14.28*1.1</f>
        <v>15.708</v>
      </c>
      <c r="L19" s="29">
        <f t="shared" si="0"/>
        <v>502.65600000000001</v>
      </c>
      <c r="M19" s="34"/>
      <c r="N19" s="35"/>
      <c r="O19" s="35"/>
      <c r="P19" s="35"/>
      <c r="Q19" s="35"/>
      <c r="R19" s="35"/>
      <c r="S19" s="35"/>
      <c r="T19" s="14">
        <v>15</v>
      </c>
      <c r="U19" s="31">
        <f t="shared" si="1"/>
        <v>235.62</v>
      </c>
      <c r="V19" s="11"/>
      <c r="W19" s="35"/>
      <c r="X19" s="34"/>
      <c r="Y19" s="35"/>
      <c r="Z19" s="34"/>
      <c r="AA19" s="35"/>
      <c r="AB19" s="14">
        <v>15</v>
      </c>
      <c r="AC19" s="31">
        <f t="shared" si="2"/>
        <v>235.62</v>
      </c>
      <c r="AD19" s="35"/>
      <c r="AE19" s="35"/>
      <c r="AF19" s="35"/>
      <c r="AG19" s="35"/>
      <c r="AH19" s="35"/>
      <c r="AI19" s="35"/>
      <c r="AJ19" s="35"/>
      <c r="AK19" s="11"/>
      <c r="AL19" s="33">
        <f t="shared" si="3"/>
        <v>471.24</v>
      </c>
    </row>
    <row r="20" spans="2:38" ht="30.2" customHeight="1" x14ac:dyDescent="0.25">
      <c r="B20" s="14">
        <v>21102</v>
      </c>
      <c r="C20" s="25" t="s">
        <v>50</v>
      </c>
      <c r="D20" s="14">
        <v>0</v>
      </c>
      <c r="E20" s="26">
        <v>50</v>
      </c>
      <c r="F20" s="14" t="s">
        <v>49</v>
      </c>
      <c r="G20" s="27" t="s">
        <v>42</v>
      </c>
      <c r="H20" s="28" t="s">
        <v>43</v>
      </c>
      <c r="I20" s="143" t="s">
        <v>44</v>
      </c>
      <c r="J20" s="144"/>
      <c r="K20" s="36">
        <f>47.07*1.1</f>
        <v>51.777000000000001</v>
      </c>
      <c r="L20" s="29">
        <f t="shared" si="0"/>
        <v>2588.85</v>
      </c>
      <c r="M20" s="34"/>
      <c r="N20" s="35"/>
      <c r="O20" s="35"/>
      <c r="P20" s="35"/>
      <c r="Q20" s="35"/>
      <c r="R20" s="35"/>
      <c r="S20" s="35"/>
      <c r="T20" s="14">
        <v>25</v>
      </c>
      <c r="U20" s="31">
        <f t="shared" si="1"/>
        <v>1294.425</v>
      </c>
      <c r="V20" s="11"/>
      <c r="W20" s="35"/>
      <c r="X20" s="34"/>
      <c r="Y20" s="35"/>
      <c r="Z20" s="34"/>
      <c r="AA20" s="35"/>
      <c r="AB20" s="14">
        <v>25</v>
      </c>
      <c r="AC20" s="31">
        <f t="shared" si="2"/>
        <v>1294.425</v>
      </c>
      <c r="AD20" s="35"/>
      <c r="AE20" s="35"/>
      <c r="AF20" s="35"/>
      <c r="AG20" s="35"/>
      <c r="AH20" s="35"/>
      <c r="AI20" s="35"/>
      <c r="AJ20" s="35"/>
      <c r="AK20" s="11"/>
      <c r="AL20" s="33">
        <f t="shared" si="3"/>
        <v>2588.85</v>
      </c>
    </row>
    <row r="21" spans="2:38" ht="30.2" customHeight="1" x14ac:dyDescent="0.25">
      <c r="B21" s="14">
        <v>21102</v>
      </c>
      <c r="C21" s="25" t="s">
        <v>51</v>
      </c>
      <c r="D21" s="14">
        <v>0</v>
      </c>
      <c r="E21" s="26">
        <v>120</v>
      </c>
      <c r="F21" s="14" t="s">
        <v>41</v>
      </c>
      <c r="G21" s="27" t="s">
        <v>42</v>
      </c>
      <c r="H21" s="28" t="s">
        <v>43</v>
      </c>
      <c r="I21" s="143" t="s">
        <v>44</v>
      </c>
      <c r="J21" s="144"/>
      <c r="K21" s="36">
        <f>3.89*12*(1.1)</f>
        <v>51.348000000000006</v>
      </c>
      <c r="L21" s="29">
        <f t="shared" si="0"/>
        <v>6161.7600000000011</v>
      </c>
      <c r="M21" s="34"/>
      <c r="N21" s="35"/>
      <c r="O21" s="35"/>
      <c r="P21" s="35"/>
      <c r="Q21" s="35"/>
      <c r="R21" s="35"/>
      <c r="S21" s="35"/>
      <c r="T21" s="14">
        <v>50</v>
      </c>
      <c r="U21" s="31">
        <f t="shared" si="1"/>
        <v>2567.4</v>
      </c>
      <c r="V21" s="11"/>
      <c r="W21" s="35"/>
      <c r="X21" s="34"/>
      <c r="Y21" s="35"/>
      <c r="Z21" s="34"/>
      <c r="AA21" s="35"/>
      <c r="AB21" s="14">
        <v>50</v>
      </c>
      <c r="AC21" s="31">
        <f t="shared" si="2"/>
        <v>2567.4</v>
      </c>
      <c r="AD21" s="35"/>
      <c r="AE21" s="35"/>
      <c r="AF21" s="35"/>
      <c r="AG21" s="35"/>
      <c r="AH21" s="35"/>
      <c r="AI21" s="35"/>
      <c r="AJ21" s="35"/>
      <c r="AK21" s="11"/>
      <c r="AL21" s="33">
        <f t="shared" si="3"/>
        <v>5134.8</v>
      </c>
    </row>
    <row r="22" spans="2:38" ht="30.2" customHeight="1" x14ac:dyDescent="0.25">
      <c r="B22" s="14">
        <v>21102</v>
      </c>
      <c r="C22" s="25" t="s">
        <v>52</v>
      </c>
      <c r="D22" s="14">
        <v>0</v>
      </c>
      <c r="E22" s="26">
        <v>49</v>
      </c>
      <c r="F22" s="14" t="s">
        <v>49</v>
      </c>
      <c r="G22" s="27" t="s">
        <v>42</v>
      </c>
      <c r="H22" s="28" t="s">
        <v>43</v>
      </c>
      <c r="I22" s="143" t="s">
        <v>44</v>
      </c>
      <c r="J22" s="144"/>
      <c r="K22" s="36">
        <f>12.41*1.1</f>
        <v>13.651000000000002</v>
      </c>
      <c r="L22" s="29">
        <f t="shared" si="0"/>
        <v>668.89900000000011</v>
      </c>
      <c r="M22" s="34"/>
      <c r="N22" s="35"/>
      <c r="O22" s="35"/>
      <c r="P22" s="35"/>
      <c r="Q22" s="35"/>
      <c r="R22" s="35"/>
      <c r="S22" s="35"/>
      <c r="T22" s="14">
        <v>25</v>
      </c>
      <c r="U22" s="31">
        <f t="shared" si="1"/>
        <v>341.27500000000003</v>
      </c>
      <c r="V22" s="11"/>
      <c r="W22" s="35"/>
      <c r="X22" s="34"/>
      <c r="Y22" s="35"/>
      <c r="Z22" s="34"/>
      <c r="AA22" s="35"/>
      <c r="AB22" s="14">
        <v>25</v>
      </c>
      <c r="AC22" s="31">
        <f t="shared" si="2"/>
        <v>341.27500000000003</v>
      </c>
      <c r="AD22" s="35"/>
      <c r="AE22" s="35"/>
      <c r="AF22" s="35"/>
      <c r="AG22" s="35"/>
      <c r="AH22" s="35"/>
      <c r="AI22" s="35"/>
      <c r="AJ22" s="35"/>
      <c r="AK22" s="11"/>
      <c r="AL22" s="33">
        <f t="shared" si="3"/>
        <v>682.55000000000007</v>
      </c>
    </row>
    <row r="23" spans="2:38" ht="30.2" customHeight="1" x14ac:dyDescent="0.25">
      <c r="B23" s="14">
        <v>21102</v>
      </c>
      <c r="C23" s="25" t="s">
        <v>53</v>
      </c>
      <c r="D23" s="14">
        <v>0</v>
      </c>
      <c r="E23" s="26">
        <v>27</v>
      </c>
      <c r="F23" s="14" t="s">
        <v>49</v>
      </c>
      <c r="G23" s="27" t="s">
        <v>42</v>
      </c>
      <c r="H23" s="28" t="s">
        <v>43</v>
      </c>
      <c r="I23" s="143" t="s">
        <v>44</v>
      </c>
      <c r="J23" s="144"/>
      <c r="K23" s="36">
        <v>330.5378</v>
      </c>
      <c r="L23" s="29">
        <f t="shared" si="0"/>
        <v>8924.5205999999998</v>
      </c>
      <c r="M23" s="34"/>
      <c r="N23" s="35"/>
      <c r="O23" s="35"/>
      <c r="P23" s="35"/>
      <c r="Q23" s="35"/>
      <c r="R23" s="35"/>
      <c r="S23" s="35"/>
      <c r="T23" s="14">
        <v>15</v>
      </c>
      <c r="U23" s="31">
        <f t="shared" si="1"/>
        <v>4958.067</v>
      </c>
      <c r="V23" s="11"/>
      <c r="W23" s="35"/>
      <c r="X23" s="34"/>
      <c r="Y23" s="35"/>
      <c r="Z23" s="34"/>
      <c r="AA23" s="35"/>
      <c r="AB23" s="14">
        <v>15</v>
      </c>
      <c r="AC23" s="31">
        <f t="shared" si="2"/>
        <v>4958.067</v>
      </c>
      <c r="AD23" s="35"/>
      <c r="AE23" s="35"/>
      <c r="AF23" s="35"/>
      <c r="AG23" s="35"/>
      <c r="AH23" s="35"/>
      <c r="AI23" s="35"/>
      <c r="AJ23" s="35"/>
      <c r="AK23" s="11"/>
      <c r="AL23" s="33">
        <f t="shared" si="3"/>
        <v>9916.134</v>
      </c>
    </row>
    <row r="24" spans="2:38" ht="30.2" customHeight="1" x14ac:dyDescent="0.25">
      <c r="B24" s="14">
        <v>21102</v>
      </c>
      <c r="C24" s="37" t="s">
        <v>54</v>
      </c>
      <c r="D24" s="14">
        <v>0</v>
      </c>
      <c r="E24" s="26">
        <v>130</v>
      </c>
      <c r="F24" s="14" t="s">
        <v>49</v>
      </c>
      <c r="G24" s="27" t="s">
        <v>42</v>
      </c>
      <c r="H24" s="28" t="s">
        <v>43</v>
      </c>
      <c r="I24" s="143" t="s">
        <v>44</v>
      </c>
      <c r="J24" s="144"/>
      <c r="K24" s="36">
        <f>26.81*1.1</f>
        <v>29.491</v>
      </c>
      <c r="L24" s="29">
        <f t="shared" si="0"/>
        <v>3833.83</v>
      </c>
      <c r="M24" s="34"/>
      <c r="N24" s="35"/>
      <c r="O24" s="35"/>
      <c r="P24" s="35"/>
      <c r="Q24" s="35"/>
      <c r="R24" s="35"/>
      <c r="S24" s="35"/>
      <c r="T24" s="14">
        <v>50</v>
      </c>
      <c r="U24" s="31">
        <f t="shared" si="1"/>
        <v>1474.55</v>
      </c>
      <c r="V24" s="11"/>
      <c r="W24" s="35"/>
      <c r="X24" s="34"/>
      <c r="Y24" s="35"/>
      <c r="Z24" s="34"/>
      <c r="AA24" s="35"/>
      <c r="AB24" s="14">
        <v>50</v>
      </c>
      <c r="AC24" s="31">
        <f t="shared" si="2"/>
        <v>1474.55</v>
      </c>
      <c r="AD24" s="35"/>
      <c r="AE24" s="35"/>
      <c r="AF24" s="35"/>
      <c r="AG24" s="35"/>
      <c r="AH24" s="35"/>
      <c r="AI24" s="35"/>
      <c r="AJ24" s="35"/>
      <c r="AK24" s="11"/>
      <c r="AL24" s="33">
        <f t="shared" si="3"/>
        <v>2949.1</v>
      </c>
    </row>
    <row r="25" spans="2:38" ht="30.2" customHeight="1" x14ac:dyDescent="0.25">
      <c r="B25" s="14">
        <v>21102</v>
      </c>
      <c r="C25" s="25" t="s">
        <v>55</v>
      </c>
      <c r="D25" s="14">
        <v>0</v>
      </c>
      <c r="E25" s="26">
        <v>96</v>
      </c>
      <c r="F25" s="14" t="s">
        <v>49</v>
      </c>
      <c r="G25" s="27" t="s">
        <v>42</v>
      </c>
      <c r="H25" s="28" t="s">
        <v>43</v>
      </c>
      <c r="I25" s="143" t="s">
        <v>44</v>
      </c>
      <c r="J25" s="144"/>
      <c r="K25" s="36">
        <f>13.4*1.1</f>
        <v>14.740000000000002</v>
      </c>
      <c r="L25" s="29">
        <f t="shared" si="0"/>
        <v>1415.0400000000002</v>
      </c>
      <c r="M25" s="34"/>
      <c r="N25" s="35"/>
      <c r="O25" s="35"/>
      <c r="P25" s="35"/>
      <c r="Q25" s="35"/>
      <c r="R25" s="35"/>
      <c r="S25" s="35"/>
      <c r="T25" s="14">
        <v>50</v>
      </c>
      <c r="U25" s="31">
        <f t="shared" si="1"/>
        <v>737.00000000000011</v>
      </c>
      <c r="V25" s="11"/>
      <c r="W25" s="35"/>
      <c r="X25" s="34"/>
      <c r="Y25" s="35"/>
      <c r="Z25" s="34"/>
      <c r="AA25" s="35"/>
      <c r="AB25" s="14">
        <v>50</v>
      </c>
      <c r="AC25" s="31">
        <f t="shared" si="2"/>
        <v>737.00000000000011</v>
      </c>
      <c r="AD25" s="35"/>
      <c r="AE25" s="35"/>
      <c r="AF25" s="35"/>
      <c r="AG25" s="35"/>
      <c r="AH25" s="35"/>
      <c r="AI25" s="35"/>
      <c r="AJ25" s="35"/>
      <c r="AK25" s="11"/>
      <c r="AL25" s="33">
        <f t="shared" si="3"/>
        <v>1474.0000000000002</v>
      </c>
    </row>
    <row r="26" spans="2:38" ht="30.2" customHeight="1" x14ac:dyDescent="0.25">
      <c r="B26" s="14">
        <v>21102</v>
      </c>
      <c r="C26" s="25" t="s">
        <v>56</v>
      </c>
      <c r="D26" s="14">
        <v>0</v>
      </c>
      <c r="E26" s="26">
        <v>100</v>
      </c>
      <c r="F26" s="14" t="s">
        <v>49</v>
      </c>
      <c r="G26" s="27" t="s">
        <v>42</v>
      </c>
      <c r="H26" s="28" t="s">
        <v>43</v>
      </c>
      <c r="I26" s="143" t="s">
        <v>44</v>
      </c>
      <c r="J26" s="144"/>
      <c r="K26" s="36">
        <f>26.04*1.1</f>
        <v>28.644000000000002</v>
      </c>
      <c r="L26" s="29">
        <f t="shared" si="0"/>
        <v>2864.4</v>
      </c>
      <c r="M26" s="34"/>
      <c r="N26" s="35"/>
      <c r="O26" s="35"/>
      <c r="P26" s="35"/>
      <c r="Q26" s="35"/>
      <c r="R26" s="35"/>
      <c r="S26" s="35"/>
      <c r="T26" s="14">
        <v>50</v>
      </c>
      <c r="U26" s="31">
        <f t="shared" si="1"/>
        <v>1432.2</v>
      </c>
      <c r="V26" s="11"/>
      <c r="W26" s="35"/>
      <c r="X26" s="34"/>
      <c r="Y26" s="35"/>
      <c r="Z26" s="34"/>
      <c r="AA26" s="35"/>
      <c r="AB26" s="14">
        <v>50</v>
      </c>
      <c r="AC26" s="31">
        <f t="shared" si="2"/>
        <v>1432.2</v>
      </c>
      <c r="AD26" s="35"/>
      <c r="AE26" s="35"/>
      <c r="AF26" s="35"/>
      <c r="AG26" s="35"/>
      <c r="AH26" s="35"/>
      <c r="AI26" s="35"/>
      <c r="AJ26" s="35"/>
      <c r="AK26" s="11"/>
      <c r="AL26" s="33">
        <f t="shared" si="3"/>
        <v>2864.4</v>
      </c>
    </row>
    <row r="27" spans="2:38" ht="31.5" customHeight="1" x14ac:dyDescent="0.25">
      <c r="B27" s="14">
        <v>21102</v>
      </c>
      <c r="C27" s="25" t="s">
        <v>57</v>
      </c>
      <c r="D27" s="14">
        <v>0</v>
      </c>
      <c r="E27" s="26">
        <v>120</v>
      </c>
      <c r="F27" s="14" t="s">
        <v>49</v>
      </c>
      <c r="G27" s="27" t="s">
        <v>42</v>
      </c>
      <c r="H27" s="28" t="s">
        <v>43</v>
      </c>
      <c r="I27" s="143" t="s">
        <v>44</v>
      </c>
      <c r="J27" s="144"/>
      <c r="K27" s="36">
        <f>46.69*1.1</f>
        <v>51.359000000000002</v>
      </c>
      <c r="L27" s="29">
        <f t="shared" si="0"/>
        <v>6163.08</v>
      </c>
      <c r="M27" s="34"/>
      <c r="N27" s="35"/>
      <c r="O27" s="35"/>
      <c r="P27" s="35"/>
      <c r="Q27" s="35"/>
      <c r="R27" s="35"/>
      <c r="S27" s="35"/>
      <c r="T27" s="14">
        <v>50</v>
      </c>
      <c r="U27" s="31">
        <f t="shared" si="1"/>
        <v>2567.9500000000003</v>
      </c>
      <c r="V27" s="11"/>
      <c r="W27" s="35"/>
      <c r="X27" s="34"/>
      <c r="Y27" s="35"/>
      <c r="Z27" s="34"/>
      <c r="AA27" s="35"/>
      <c r="AB27" s="14">
        <v>50</v>
      </c>
      <c r="AC27" s="31">
        <f t="shared" si="2"/>
        <v>2567.9500000000003</v>
      </c>
      <c r="AD27" s="35"/>
      <c r="AE27" s="35"/>
      <c r="AF27" s="35"/>
      <c r="AG27" s="35"/>
      <c r="AH27" s="35"/>
      <c r="AI27" s="35"/>
      <c r="AJ27" s="35"/>
      <c r="AK27" s="11"/>
      <c r="AL27" s="33">
        <f t="shared" si="3"/>
        <v>5135.9000000000005</v>
      </c>
    </row>
    <row r="28" spans="2:38" ht="30.2" customHeight="1" x14ac:dyDescent="0.25">
      <c r="B28" s="14">
        <v>21102</v>
      </c>
      <c r="C28" s="25" t="s">
        <v>58</v>
      </c>
      <c r="D28" s="14">
        <v>0</v>
      </c>
      <c r="E28" s="26">
        <v>100</v>
      </c>
      <c r="F28" s="14" t="s">
        <v>41</v>
      </c>
      <c r="G28" s="27" t="s">
        <v>42</v>
      </c>
      <c r="H28" s="28" t="s">
        <v>43</v>
      </c>
      <c r="I28" s="143" t="s">
        <v>44</v>
      </c>
      <c r="J28" s="144"/>
      <c r="K28" s="36">
        <f>110.55*1.1</f>
        <v>121.605</v>
      </c>
      <c r="L28" s="29">
        <f t="shared" si="0"/>
        <v>12160.5</v>
      </c>
      <c r="M28" s="34"/>
      <c r="N28" s="35"/>
      <c r="O28" s="35"/>
      <c r="P28" s="35"/>
      <c r="Q28" s="35"/>
      <c r="R28" s="35"/>
      <c r="S28" s="35"/>
      <c r="T28" s="14">
        <v>50</v>
      </c>
      <c r="U28" s="31">
        <f t="shared" si="1"/>
        <v>6080.25</v>
      </c>
      <c r="V28" s="11"/>
      <c r="W28" s="35"/>
      <c r="X28" s="34"/>
      <c r="Y28" s="35"/>
      <c r="Z28" s="34"/>
      <c r="AA28" s="35"/>
      <c r="AB28" s="14">
        <v>50</v>
      </c>
      <c r="AC28" s="31">
        <f t="shared" si="2"/>
        <v>6080.25</v>
      </c>
      <c r="AD28" s="35"/>
      <c r="AE28" s="35"/>
      <c r="AF28" s="35"/>
      <c r="AG28" s="35"/>
      <c r="AH28" s="35"/>
      <c r="AI28" s="35"/>
      <c r="AJ28" s="35"/>
      <c r="AK28" s="11"/>
      <c r="AL28" s="33">
        <f t="shared" si="3"/>
        <v>12160.5</v>
      </c>
    </row>
    <row r="29" spans="2:38" ht="30.2" customHeight="1" x14ac:dyDescent="0.25">
      <c r="B29" s="14">
        <v>21102</v>
      </c>
      <c r="C29" s="25" t="s">
        <v>59</v>
      </c>
      <c r="D29" s="14">
        <v>0</v>
      </c>
      <c r="E29" s="26">
        <v>100</v>
      </c>
      <c r="F29" s="14" t="s">
        <v>49</v>
      </c>
      <c r="G29" s="27" t="s">
        <v>42</v>
      </c>
      <c r="H29" s="28" t="s">
        <v>43</v>
      </c>
      <c r="I29" s="143" t="s">
        <v>44</v>
      </c>
      <c r="J29" s="144"/>
      <c r="K29" s="36">
        <f>3.61*1.1</f>
        <v>3.9710000000000001</v>
      </c>
      <c r="L29" s="29">
        <f t="shared" si="0"/>
        <v>397.1</v>
      </c>
      <c r="M29" s="34"/>
      <c r="N29" s="35"/>
      <c r="O29" s="35"/>
      <c r="P29" s="35"/>
      <c r="Q29" s="35"/>
      <c r="R29" s="35"/>
      <c r="S29" s="35"/>
      <c r="T29" s="14">
        <v>50</v>
      </c>
      <c r="U29" s="31">
        <f t="shared" si="1"/>
        <v>198.55</v>
      </c>
      <c r="V29" s="11"/>
      <c r="W29" s="35"/>
      <c r="X29" s="34"/>
      <c r="Y29" s="35"/>
      <c r="Z29" s="34"/>
      <c r="AA29" s="35"/>
      <c r="AB29" s="14">
        <v>50</v>
      </c>
      <c r="AC29" s="31">
        <f t="shared" si="2"/>
        <v>198.55</v>
      </c>
      <c r="AD29" s="35"/>
      <c r="AE29" s="35"/>
      <c r="AF29" s="35"/>
      <c r="AG29" s="35"/>
      <c r="AH29" s="35"/>
      <c r="AI29" s="35"/>
      <c r="AJ29" s="35"/>
      <c r="AK29" s="11"/>
      <c r="AL29" s="33">
        <f t="shared" si="3"/>
        <v>397.1</v>
      </c>
    </row>
    <row r="30" spans="2:38" ht="30.2" customHeight="1" x14ac:dyDescent="0.25">
      <c r="B30" s="14">
        <v>21102</v>
      </c>
      <c r="C30" s="25" t="s">
        <v>60</v>
      </c>
      <c r="D30" s="14">
        <v>0</v>
      </c>
      <c r="E30" s="26">
        <v>100</v>
      </c>
      <c r="F30" s="14" t="s">
        <v>49</v>
      </c>
      <c r="G30" s="27" t="s">
        <v>42</v>
      </c>
      <c r="H30" s="28" t="s">
        <v>43</v>
      </c>
      <c r="I30" s="143" t="s">
        <v>44</v>
      </c>
      <c r="J30" s="144"/>
      <c r="K30" s="38">
        <f>57.07*1.1</f>
        <v>62.777000000000008</v>
      </c>
      <c r="L30" s="29">
        <f t="shared" si="0"/>
        <v>6277.7000000000007</v>
      </c>
      <c r="M30" s="34"/>
      <c r="N30" s="35"/>
      <c r="O30" s="35"/>
      <c r="P30" s="35"/>
      <c r="Q30" s="35"/>
      <c r="R30" s="35"/>
      <c r="S30" s="35"/>
      <c r="T30" s="14">
        <v>50</v>
      </c>
      <c r="U30" s="31">
        <f t="shared" si="1"/>
        <v>3138.8500000000004</v>
      </c>
      <c r="V30" s="11"/>
      <c r="W30" s="35"/>
      <c r="X30" s="34"/>
      <c r="Y30" s="35"/>
      <c r="Z30" s="34"/>
      <c r="AA30" s="35"/>
      <c r="AB30" s="14">
        <v>50</v>
      </c>
      <c r="AC30" s="31">
        <f t="shared" si="2"/>
        <v>3138.8500000000004</v>
      </c>
      <c r="AD30" s="35"/>
      <c r="AE30" s="35"/>
      <c r="AF30" s="35"/>
      <c r="AG30" s="35"/>
      <c r="AH30" s="35"/>
      <c r="AI30" s="35"/>
      <c r="AJ30" s="35"/>
      <c r="AK30" s="11"/>
      <c r="AL30" s="33">
        <f t="shared" si="3"/>
        <v>6277.7000000000007</v>
      </c>
    </row>
    <row r="31" spans="2:38" ht="30.2" customHeight="1" x14ac:dyDescent="0.25">
      <c r="B31" s="14">
        <v>21102</v>
      </c>
      <c r="C31" s="25" t="s">
        <v>61</v>
      </c>
      <c r="D31" s="14">
        <v>0</v>
      </c>
      <c r="E31" s="26">
        <v>84</v>
      </c>
      <c r="F31" s="14" t="s">
        <v>41</v>
      </c>
      <c r="G31" s="27" t="s">
        <v>42</v>
      </c>
      <c r="H31" s="28" t="s">
        <v>43</v>
      </c>
      <c r="I31" s="143" t="s">
        <v>44</v>
      </c>
      <c r="J31" s="144"/>
      <c r="K31" s="36">
        <f>6.48/1.1</f>
        <v>5.8909090909090907</v>
      </c>
      <c r="L31" s="29">
        <f t="shared" si="0"/>
        <v>494.83636363636361</v>
      </c>
      <c r="M31" s="34"/>
      <c r="N31" s="35"/>
      <c r="O31" s="35"/>
      <c r="P31" s="35"/>
      <c r="Q31" s="35"/>
      <c r="R31" s="35"/>
      <c r="S31" s="35"/>
      <c r="T31" s="14">
        <v>42</v>
      </c>
      <c r="U31" s="31">
        <f t="shared" si="1"/>
        <v>247.41818181818181</v>
      </c>
      <c r="V31" s="11"/>
      <c r="W31" s="35"/>
      <c r="X31" s="34"/>
      <c r="Y31" s="35"/>
      <c r="Z31" s="34"/>
      <c r="AA31" s="35"/>
      <c r="AB31" s="14">
        <v>42</v>
      </c>
      <c r="AC31" s="31">
        <f t="shared" si="2"/>
        <v>247.41818181818181</v>
      </c>
      <c r="AD31" s="35"/>
      <c r="AE31" s="35"/>
      <c r="AF31" s="35"/>
      <c r="AG31" s="35"/>
      <c r="AH31" s="35"/>
      <c r="AI31" s="35"/>
      <c r="AJ31" s="35"/>
      <c r="AK31" s="11"/>
      <c r="AL31" s="33">
        <f t="shared" si="3"/>
        <v>494.83636363636361</v>
      </c>
    </row>
    <row r="32" spans="2:38" ht="30.2" customHeight="1" x14ac:dyDescent="0.25">
      <c r="B32" s="14">
        <v>21102</v>
      </c>
      <c r="C32" s="25" t="s">
        <v>62</v>
      </c>
      <c r="D32" s="14">
        <v>0</v>
      </c>
      <c r="E32" s="26">
        <v>60</v>
      </c>
      <c r="F32" s="14" t="s">
        <v>41</v>
      </c>
      <c r="G32" s="27" t="s">
        <v>42</v>
      </c>
      <c r="H32" s="28" t="s">
        <v>43</v>
      </c>
      <c r="I32" s="143" t="s">
        <v>44</v>
      </c>
      <c r="J32" s="144"/>
      <c r="K32" s="36">
        <f>138.23*1.1</f>
        <v>152.053</v>
      </c>
      <c r="L32" s="29">
        <f t="shared" si="0"/>
        <v>9123.18</v>
      </c>
      <c r="M32" s="34"/>
      <c r="N32" s="35"/>
      <c r="O32" s="35"/>
      <c r="P32" s="35"/>
      <c r="Q32" s="35"/>
      <c r="R32" s="35"/>
      <c r="S32" s="35"/>
      <c r="T32" s="14">
        <v>30</v>
      </c>
      <c r="U32" s="31">
        <f t="shared" si="1"/>
        <v>4561.59</v>
      </c>
      <c r="V32" s="11"/>
      <c r="W32" s="35"/>
      <c r="X32" s="34"/>
      <c r="Y32" s="35"/>
      <c r="Z32" s="34"/>
      <c r="AA32" s="35"/>
      <c r="AB32" s="14">
        <v>30</v>
      </c>
      <c r="AC32" s="31">
        <f t="shared" si="2"/>
        <v>4561.59</v>
      </c>
      <c r="AD32" s="35"/>
      <c r="AE32" s="35"/>
      <c r="AF32" s="35"/>
      <c r="AG32" s="35"/>
      <c r="AH32" s="35"/>
      <c r="AI32" s="35"/>
      <c r="AJ32" s="35"/>
      <c r="AK32" s="11"/>
      <c r="AL32" s="33">
        <f t="shared" si="3"/>
        <v>9123.18</v>
      </c>
    </row>
    <row r="33" spans="2:38" ht="30.2" customHeight="1" x14ac:dyDescent="0.25">
      <c r="B33" s="14">
        <v>21102</v>
      </c>
      <c r="C33" s="25" t="s">
        <v>63</v>
      </c>
      <c r="D33" s="14">
        <v>0</v>
      </c>
      <c r="E33" s="26">
        <v>40</v>
      </c>
      <c r="F33" s="14" t="s">
        <v>41</v>
      </c>
      <c r="G33" s="27" t="s">
        <v>42</v>
      </c>
      <c r="H33" s="28" t="s">
        <v>43</v>
      </c>
      <c r="I33" s="143" t="s">
        <v>44</v>
      </c>
      <c r="J33" s="144"/>
      <c r="K33" s="36">
        <f>138.23*1.1</f>
        <v>152.053</v>
      </c>
      <c r="L33" s="29">
        <f t="shared" si="0"/>
        <v>6082.12</v>
      </c>
      <c r="M33" s="34"/>
      <c r="N33" s="35"/>
      <c r="O33" s="35"/>
      <c r="P33" s="35"/>
      <c r="Q33" s="35"/>
      <c r="R33" s="35"/>
      <c r="S33" s="35"/>
      <c r="T33" s="14">
        <v>15</v>
      </c>
      <c r="U33" s="31">
        <f t="shared" si="1"/>
        <v>2280.7950000000001</v>
      </c>
      <c r="V33" s="11"/>
      <c r="W33" s="35"/>
      <c r="X33" s="34"/>
      <c r="Y33" s="35"/>
      <c r="Z33" s="34"/>
      <c r="AA33" s="35"/>
      <c r="AB33" s="14">
        <v>15</v>
      </c>
      <c r="AC33" s="31">
        <f t="shared" si="2"/>
        <v>2280.7950000000001</v>
      </c>
      <c r="AD33" s="35"/>
      <c r="AE33" s="35"/>
      <c r="AF33" s="35"/>
      <c r="AG33" s="35"/>
      <c r="AH33" s="35"/>
      <c r="AI33" s="35"/>
      <c r="AJ33" s="35"/>
      <c r="AK33" s="11"/>
      <c r="AL33" s="33">
        <f t="shared" si="3"/>
        <v>4561.59</v>
      </c>
    </row>
    <row r="34" spans="2:38" ht="30.2" customHeight="1" x14ac:dyDescent="0.25">
      <c r="B34" s="14">
        <v>21102</v>
      </c>
      <c r="C34" s="25" t="s">
        <v>64</v>
      </c>
      <c r="D34" s="14">
        <v>0</v>
      </c>
      <c r="E34" s="26">
        <v>40</v>
      </c>
      <c r="F34" s="14" t="s">
        <v>41</v>
      </c>
      <c r="G34" s="27" t="s">
        <v>42</v>
      </c>
      <c r="H34" s="28" t="s">
        <v>43</v>
      </c>
      <c r="I34" s="143" t="s">
        <v>44</v>
      </c>
      <c r="J34" s="144"/>
      <c r="K34" s="36">
        <f t="shared" ref="K34:K35" si="4">138.23*1.1</f>
        <v>152.053</v>
      </c>
      <c r="L34" s="29">
        <f t="shared" si="0"/>
        <v>6082.12</v>
      </c>
      <c r="M34" s="34"/>
      <c r="N34" s="35"/>
      <c r="O34" s="35"/>
      <c r="P34" s="35"/>
      <c r="Q34" s="35"/>
      <c r="R34" s="35"/>
      <c r="S34" s="35"/>
      <c r="T34" s="14">
        <v>15</v>
      </c>
      <c r="U34" s="31">
        <f t="shared" si="1"/>
        <v>2280.7950000000001</v>
      </c>
      <c r="V34" s="11"/>
      <c r="W34" s="35"/>
      <c r="X34" s="34"/>
      <c r="Y34" s="35"/>
      <c r="Z34" s="34"/>
      <c r="AA34" s="35"/>
      <c r="AB34" s="14">
        <v>15</v>
      </c>
      <c r="AC34" s="31">
        <f t="shared" si="2"/>
        <v>2280.7950000000001</v>
      </c>
      <c r="AD34" s="35"/>
      <c r="AE34" s="35"/>
      <c r="AF34" s="35"/>
      <c r="AG34" s="35"/>
      <c r="AH34" s="35"/>
      <c r="AI34" s="35"/>
      <c r="AJ34" s="35"/>
      <c r="AK34" s="11"/>
      <c r="AL34" s="33">
        <f t="shared" si="3"/>
        <v>4561.59</v>
      </c>
    </row>
    <row r="35" spans="2:38" ht="30.2" customHeight="1" x14ac:dyDescent="0.25">
      <c r="B35" s="14">
        <v>21102</v>
      </c>
      <c r="C35" s="25" t="s">
        <v>65</v>
      </c>
      <c r="D35" s="14">
        <v>0</v>
      </c>
      <c r="E35" s="26">
        <v>30</v>
      </c>
      <c r="F35" s="14" t="s">
        <v>41</v>
      </c>
      <c r="G35" s="27" t="s">
        <v>42</v>
      </c>
      <c r="H35" s="28" t="s">
        <v>43</v>
      </c>
      <c r="I35" s="143" t="s">
        <v>44</v>
      </c>
      <c r="J35" s="144"/>
      <c r="K35" s="36">
        <f t="shared" si="4"/>
        <v>152.053</v>
      </c>
      <c r="L35" s="29">
        <f t="shared" si="0"/>
        <v>4561.59</v>
      </c>
      <c r="M35" s="34"/>
      <c r="N35" s="35"/>
      <c r="O35" s="35"/>
      <c r="P35" s="35"/>
      <c r="Q35" s="35"/>
      <c r="R35" s="35"/>
      <c r="S35" s="35"/>
      <c r="T35" s="14">
        <v>15</v>
      </c>
      <c r="U35" s="31">
        <f t="shared" si="1"/>
        <v>2280.7950000000001</v>
      </c>
      <c r="V35" s="11"/>
      <c r="W35" s="35"/>
      <c r="X35" s="34"/>
      <c r="Y35" s="35"/>
      <c r="Z35" s="34"/>
      <c r="AA35" s="35"/>
      <c r="AB35" s="14">
        <v>15</v>
      </c>
      <c r="AC35" s="31">
        <f t="shared" si="2"/>
        <v>2280.7950000000001</v>
      </c>
      <c r="AD35" s="35"/>
      <c r="AE35" s="35"/>
      <c r="AF35" s="35"/>
      <c r="AG35" s="35"/>
      <c r="AH35" s="35"/>
      <c r="AI35" s="35"/>
      <c r="AJ35" s="35"/>
      <c r="AK35" s="11"/>
      <c r="AL35" s="33">
        <f t="shared" si="3"/>
        <v>4561.59</v>
      </c>
    </row>
    <row r="36" spans="2:38" ht="30.2" customHeight="1" x14ac:dyDescent="0.25">
      <c r="B36" s="14">
        <v>21102</v>
      </c>
      <c r="C36" s="25" t="s">
        <v>66</v>
      </c>
      <c r="D36" s="14">
        <v>0</v>
      </c>
      <c r="E36" s="26">
        <v>80</v>
      </c>
      <c r="F36" s="14" t="s">
        <v>49</v>
      </c>
      <c r="G36" s="27" t="s">
        <v>42</v>
      </c>
      <c r="H36" s="28" t="s">
        <v>43</v>
      </c>
      <c r="I36" s="143" t="s">
        <v>44</v>
      </c>
      <c r="J36" s="144"/>
      <c r="K36" s="36">
        <f>17.26*1.1</f>
        <v>18.986000000000004</v>
      </c>
      <c r="L36" s="29">
        <f t="shared" si="0"/>
        <v>1518.8800000000003</v>
      </c>
      <c r="M36" s="34"/>
      <c r="N36" s="35"/>
      <c r="O36" s="35"/>
      <c r="P36" s="35"/>
      <c r="Q36" s="35"/>
      <c r="R36" s="35"/>
      <c r="S36" s="35"/>
      <c r="T36" s="14">
        <v>40</v>
      </c>
      <c r="U36" s="31">
        <f t="shared" si="1"/>
        <v>759.44000000000017</v>
      </c>
      <c r="V36" s="11"/>
      <c r="W36" s="35"/>
      <c r="X36" s="34"/>
      <c r="Y36" s="35"/>
      <c r="Z36" s="34"/>
      <c r="AA36" s="35"/>
      <c r="AB36" s="14">
        <v>40</v>
      </c>
      <c r="AC36" s="31">
        <f t="shared" si="2"/>
        <v>759.44000000000017</v>
      </c>
      <c r="AD36" s="35"/>
      <c r="AE36" s="35"/>
      <c r="AF36" s="35"/>
      <c r="AG36" s="35"/>
      <c r="AH36" s="35"/>
      <c r="AI36" s="35"/>
      <c r="AJ36" s="35"/>
      <c r="AK36" s="11"/>
      <c r="AL36" s="33">
        <f t="shared" si="3"/>
        <v>1518.8800000000003</v>
      </c>
    </row>
    <row r="37" spans="2:38" ht="30.2" customHeight="1" x14ac:dyDescent="0.25">
      <c r="B37" s="14">
        <v>21102</v>
      </c>
      <c r="C37" s="25" t="s">
        <v>67</v>
      </c>
      <c r="D37" s="14">
        <v>0</v>
      </c>
      <c r="E37" s="26">
        <v>50</v>
      </c>
      <c r="F37" s="14" t="s">
        <v>49</v>
      </c>
      <c r="G37" s="27" t="s">
        <v>42</v>
      </c>
      <c r="H37" s="28" t="s">
        <v>43</v>
      </c>
      <c r="I37" s="143" t="s">
        <v>44</v>
      </c>
      <c r="J37" s="144"/>
      <c r="K37" s="36">
        <f>5.43*1.1</f>
        <v>5.9729999999999999</v>
      </c>
      <c r="L37" s="29">
        <f t="shared" si="0"/>
        <v>298.64999999999998</v>
      </c>
      <c r="M37" s="34"/>
      <c r="N37" s="35"/>
      <c r="O37" s="35"/>
      <c r="P37" s="35"/>
      <c r="Q37" s="35"/>
      <c r="R37" s="35"/>
      <c r="S37" s="35"/>
      <c r="T37" s="14">
        <v>25</v>
      </c>
      <c r="U37" s="31">
        <f t="shared" si="1"/>
        <v>149.32499999999999</v>
      </c>
      <c r="V37" s="11"/>
      <c r="W37" s="35"/>
      <c r="X37" s="34"/>
      <c r="Y37" s="35"/>
      <c r="Z37" s="34"/>
      <c r="AA37" s="35"/>
      <c r="AB37" s="14">
        <v>25</v>
      </c>
      <c r="AC37" s="31">
        <f t="shared" si="2"/>
        <v>149.32499999999999</v>
      </c>
      <c r="AD37" s="35"/>
      <c r="AE37" s="35"/>
      <c r="AF37" s="35"/>
      <c r="AG37" s="35"/>
      <c r="AH37" s="35"/>
      <c r="AI37" s="35"/>
      <c r="AJ37" s="35"/>
      <c r="AK37" s="11"/>
      <c r="AL37" s="33">
        <f t="shared" si="3"/>
        <v>298.64999999999998</v>
      </c>
    </row>
    <row r="38" spans="2:38" ht="30.2" customHeight="1" x14ac:dyDescent="0.25">
      <c r="B38" s="14">
        <v>21102</v>
      </c>
      <c r="C38" s="25" t="s">
        <v>68</v>
      </c>
      <c r="D38" s="14">
        <v>0</v>
      </c>
      <c r="E38" s="26">
        <v>100</v>
      </c>
      <c r="F38" s="14" t="s">
        <v>41</v>
      </c>
      <c r="G38" s="27" t="s">
        <v>42</v>
      </c>
      <c r="H38" s="28" t="s">
        <v>43</v>
      </c>
      <c r="I38" s="143" t="s">
        <v>44</v>
      </c>
      <c r="J38" s="144"/>
      <c r="K38" s="36">
        <f>28.66*1.1</f>
        <v>31.526000000000003</v>
      </c>
      <c r="L38" s="29">
        <f t="shared" si="0"/>
        <v>3152.6000000000004</v>
      </c>
      <c r="M38" s="34"/>
      <c r="N38" s="35"/>
      <c r="O38" s="35"/>
      <c r="P38" s="35"/>
      <c r="Q38" s="35"/>
      <c r="R38" s="35"/>
      <c r="S38" s="35"/>
      <c r="T38" s="14">
        <v>50</v>
      </c>
      <c r="U38" s="31">
        <f t="shared" si="1"/>
        <v>1576.3000000000002</v>
      </c>
      <c r="V38" s="11"/>
      <c r="W38" s="35"/>
      <c r="X38" s="34"/>
      <c r="Y38" s="35"/>
      <c r="Z38" s="34"/>
      <c r="AA38" s="35"/>
      <c r="AB38" s="14">
        <v>50</v>
      </c>
      <c r="AC38" s="31">
        <f t="shared" si="2"/>
        <v>1576.3000000000002</v>
      </c>
      <c r="AD38" s="35"/>
      <c r="AE38" s="35"/>
      <c r="AF38" s="35"/>
      <c r="AG38" s="35"/>
      <c r="AH38" s="35"/>
      <c r="AI38" s="35"/>
      <c r="AJ38" s="35"/>
      <c r="AK38" s="11"/>
      <c r="AL38" s="33">
        <f t="shared" si="3"/>
        <v>3152.6000000000004</v>
      </c>
    </row>
    <row r="39" spans="2:38" ht="30.2" customHeight="1" x14ac:dyDescent="0.25">
      <c r="B39" s="14">
        <v>21102</v>
      </c>
      <c r="C39" s="25" t="s">
        <v>69</v>
      </c>
      <c r="D39" s="14">
        <v>0</v>
      </c>
      <c r="E39" s="26">
        <v>280</v>
      </c>
      <c r="F39" s="14" t="s">
        <v>41</v>
      </c>
      <c r="G39" s="27" t="s">
        <v>42</v>
      </c>
      <c r="H39" s="28" t="s">
        <v>43</v>
      </c>
      <c r="I39" s="143" t="s">
        <v>44</v>
      </c>
      <c r="J39" s="144"/>
      <c r="K39" s="36">
        <f>35.23*1.1</f>
        <v>38.753</v>
      </c>
      <c r="L39" s="29">
        <f t="shared" si="0"/>
        <v>10850.84</v>
      </c>
      <c r="M39" s="34"/>
      <c r="N39" s="35"/>
      <c r="O39" s="35"/>
      <c r="P39" s="35"/>
      <c r="Q39" s="35"/>
      <c r="R39" s="35"/>
      <c r="S39" s="35"/>
      <c r="T39" s="14">
        <v>140</v>
      </c>
      <c r="U39" s="31">
        <f t="shared" si="1"/>
        <v>5425.42</v>
      </c>
      <c r="V39" s="11"/>
      <c r="W39" s="35"/>
      <c r="X39" s="34"/>
      <c r="Y39" s="35"/>
      <c r="Z39" s="34"/>
      <c r="AA39" s="35"/>
      <c r="AB39" s="14">
        <v>140</v>
      </c>
      <c r="AC39" s="31">
        <f t="shared" si="2"/>
        <v>5425.42</v>
      </c>
      <c r="AD39" s="35"/>
      <c r="AE39" s="35"/>
      <c r="AF39" s="35"/>
      <c r="AG39" s="35"/>
      <c r="AH39" s="35"/>
      <c r="AI39" s="35"/>
      <c r="AJ39" s="35"/>
      <c r="AK39" s="11"/>
      <c r="AL39" s="33">
        <f t="shared" si="3"/>
        <v>10850.84</v>
      </c>
    </row>
    <row r="40" spans="2:38" ht="30.2" customHeight="1" x14ac:dyDescent="0.25">
      <c r="B40" s="14">
        <v>21102</v>
      </c>
      <c r="C40" s="25" t="s">
        <v>70</v>
      </c>
      <c r="D40" s="14">
        <v>0</v>
      </c>
      <c r="E40" s="26">
        <v>100</v>
      </c>
      <c r="F40" s="14" t="s">
        <v>41</v>
      </c>
      <c r="G40" s="27" t="s">
        <v>42</v>
      </c>
      <c r="H40" s="28" t="s">
        <v>43</v>
      </c>
      <c r="I40" s="143" t="s">
        <v>44</v>
      </c>
      <c r="J40" s="144"/>
      <c r="K40" s="36">
        <f>27.92*1.1</f>
        <v>30.712000000000003</v>
      </c>
      <c r="L40" s="29">
        <f t="shared" si="0"/>
        <v>3071.2000000000003</v>
      </c>
      <c r="M40" s="34"/>
      <c r="N40" s="35"/>
      <c r="O40" s="35"/>
      <c r="P40" s="35"/>
      <c r="Q40" s="35"/>
      <c r="R40" s="35"/>
      <c r="S40" s="35"/>
      <c r="T40" s="14">
        <v>50</v>
      </c>
      <c r="U40" s="31">
        <f t="shared" si="1"/>
        <v>1535.6000000000001</v>
      </c>
      <c r="V40" s="11"/>
      <c r="W40" s="35"/>
      <c r="X40" s="34"/>
      <c r="Y40" s="35"/>
      <c r="Z40" s="34"/>
      <c r="AA40" s="35"/>
      <c r="AB40" s="14">
        <v>50</v>
      </c>
      <c r="AC40" s="31">
        <f t="shared" si="2"/>
        <v>1535.6000000000001</v>
      </c>
      <c r="AD40" s="35"/>
      <c r="AE40" s="35"/>
      <c r="AF40" s="35"/>
      <c r="AG40" s="35"/>
      <c r="AH40" s="35"/>
      <c r="AI40" s="35"/>
      <c r="AJ40" s="35"/>
      <c r="AK40" s="11"/>
      <c r="AL40" s="33">
        <f t="shared" si="3"/>
        <v>3071.2000000000003</v>
      </c>
    </row>
    <row r="41" spans="2:38" ht="30.2" customHeight="1" x14ac:dyDescent="0.25">
      <c r="B41" s="14">
        <v>21102</v>
      </c>
      <c r="C41" s="25" t="s">
        <v>71</v>
      </c>
      <c r="D41" s="14">
        <v>0</v>
      </c>
      <c r="E41" s="26">
        <v>260</v>
      </c>
      <c r="F41" s="14" t="s">
        <v>41</v>
      </c>
      <c r="G41" s="27" t="s">
        <v>42</v>
      </c>
      <c r="H41" s="28" t="s">
        <v>43</v>
      </c>
      <c r="I41" s="143" t="s">
        <v>44</v>
      </c>
      <c r="J41" s="144"/>
      <c r="K41" s="36">
        <f>20.86*1.1</f>
        <v>22.946000000000002</v>
      </c>
      <c r="L41" s="29">
        <f t="shared" si="0"/>
        <v>5965.96</v>
      </c>
      <c r="M41" s="34"/>
      <c r="N41" s="35"/>
      <c r="O41" s="35"/>
      <c r="P41" s="35"/>
      <c r="Q41" s="35"/>
      <c r="R41" s="35"/>
      <c r="S41" s="35"/>
      <c r="T41" s="14">
        <v>130</v>
      </c>
      <c r="U41" s="31">
        <f t="shared" si="1"/>
        <v>2982.98</v>
      </c>
      <c r="V41" s="11"/>
      <c r="W41" s="35"/>
      <c r="X41" s="34"/>
      <c r="Y41" s="35"/>
      <c r="Z41" s="34"/>
      <c r="AA41" s="35"/>
      <c r="AB41" s="14">
        <v>130</v>
      </c>
      <c r="AC41" s="31">
        <f t="shared" si="2"/>
        <v>2982.98</v>
      </c>
      <c r="AD41" s="35"/>
      <c r="AE41" s="35"/>
      <c r="AF41" s="35"/>
      <c r="AG41" s="35"/>
      <c r="AH41" s="35"/>
      <c r="AI41" s="35"/>
      <c r="AJ41" s="35"/>
      <c r="AK41" s="11"/>
      <c r="AL41" s="33">
        <f t="shared" si="3"/>
        <v>5965.96</v>
      </c>
    </row>
    <row r="42" spans="2:38" ht="30.2" customHeight="1" x14ac:dyDescent="0.25">
      <c r="B42" s="14">
        <v>21102</v>
      </c>
      <c r="C42" s="25" t="s">
        <v>72</v>
      </c>
      <c r="D42" s="14">
        <v>0</v>
      </c>
      <c r="E42" s="26">
        <v>105</v>
      </c>
      <c r="F42" s="14" t="s">
        <v>41</v>
      </c>
      <c r="G42" s="27" t="s">
        <v>42</v>
      </c>
      <c r="H42" s="28" t="s">
        <v>43</v>
      </c>
      <c r="I42" s="143" t="s">
        <v>44</v>
      </c>
      <c r="J42" s="144"/>
      <c r="K42" s="38">
        <f>48.72*1.1</f>
        <v>53.592000000000006</v>
      </c>
      <c r="L42" s="29">
        <f t="shared" si="0"/>
        <v>5627.1600000000008</v>
      </c>
      <c r="M42" s="34"/>
      <c r="N42" s="35"/>
      <c r="O42" s="35"/>
      <c r="P42" s="35"/>
      <c r="Q42" s="35"/>
      <c r="R42" s="35"/>
      <c r="S42" s="35"/>
      <c r="T42" s="14">
        <v>53</v>
      </c>
      <c r="U42" s="31">
        <f t="shared" si="1"/>
        <v>2840.3760000000002</v>
      </c>
      <c r="V42" s="11"/>
      <c r="W42" s="35"/>
      <c r="X42" s="34"/>
      <c r="Y42" s="35"/>
      <c r="Z42" s="34"/>
      <c r="AA42" s="35"/>
      <c r="AB42" s="14">
        <v>52</v>
      </c>
      <c r="AC42" s="31">
        <f t="shared" si="2"/>
        <v>2786.7840000000001</v>
      </c>
      <c r="AD42" s="35"/>
      <c r="AE42" s="35"/>
      <c r="AF42" s="35"/>
      <c r="AG42" s="35"/>
      <c r="AH42" s="35"/>
      <c r="AI42" s="35"/>
      <c r="AJ42" s="35"/>
      <c r="AK42" s="11"/>
      <c r="AL42" s="33">
        <f t="shared" si="3"/>
        <v>5627.16</v>
      </c>
    </row>
    <row r="43" spans="2:38" ht="30.2" customHeight="1" x14ac:dyDescent="0.25">
      <c r="B43" s="14">
        <v>21102</v>
      </c>
      <c r="C43" s="25" t="s">
        <v>73</v>
      </c>
      <c r="D43" s="14">
        <v>0</v>
      </c>
      <c r="E43" s="26">
        <v>105</v>
      </c>
      <c r="F43" s="14" t="s">
        <v>41</v>
      </c>
      <c r="G43" s="27" t="s">
        <v>42</v>
      </c>
      <c r="H43" s="28" t="s">
        <v>43</v>
      </c>
      <c r="I43" s="143" t="s">
        <v>44</v>
      </c>
      <c r="J43" s="144"/>
      <c r="K43" s="38">
        <f>87.46*1.1</f>
        <v>96.206000000000003</v>
      </c>
      <c r="L43" s="29">
        <f t="shared" si="0"/>
        <v>10101.630000000001</v>
      </c>
      <c r="M43" s="34"/>
      <c r="N43" s="35"/>
      <c r="O43" s="35"/>
      <c r="P43" s="35"/>
      <c r="Q43" s="35"/>
      <c r="R43" s="35"/>
      <c r="S43" s="35"/>
      <c r="T43" s="14">
        <v>53</v>
      </c>
      <c r="U43" s="31">
        <f t="shared" si="1"/>
        <v>5098.9180000000006</v>
      </c>
      <c r="V43" s="11"/>
      <c r="W43" s="35"/>
      <c r="X43" s="34"/>
      <c r="Y43" s="35"/>
      <c r="Z43" s="34"/>
      <c r="AA43" s="35"/>
      <c r="AB43" s="14">
        <v>52</v>
      </c>
      <c r="AC43" s="31">
        <f t="shared" si="2"/>
        <v>5002.7120000000004</v>
      </c>
      <c r="AD43" s="35"/>
      <c r="AE43" s="35"/>
      <c r="AF43" s="35"/>
      <c r="AG43" s="35"/>
      <c r="AH43" s="35"/>
      <c r="AI43" s="35"/>
      <c r="AJ43" s="35"/>
      <c r="AK43" s="11"/>
      <c r="AL43" s="33">
        <f t="shared" si="3"/>
        <v>10101.630000000001</v>
      </c>
    </row>
    <row r="44" spans="2:38" ht="30.2" customHeight="1" x14ac:dyDescent="0.25">
      <c r="B44" s="14">
        <v>21102</v>
      </c>
      <c r="C44" s="25" t="s">
        <v>74</v>
      </c>
      <c r="D44" s="14">
        <v>0</v>
      </c>
      <c r="E44" s="26">
        <v>100</v>
      </c>
      <c r="F44" s="14" t="s">
        <v>41</v>
      </c>
      <c r="G44" s="27" t="s">
        <v>42</v>
      </c>
      <c r="H44" s="28" t="s">
        <v>43</v>
      </c>
      <c r="I44" s="143" t="s">
        <v>44</v>
      </c>
      <c r="J44" s="144"/>
      <c r="K44" s="36">
        <f>60.68*1.1</f>
        <v>66.748000000000005</v>
      </c>
      <c r="L44" s="29">
        <f t="shared" si="0"/>
        <v>6674.8</v>
      </c>
      <c r="M44" s="34"/>
      <c r="N44" s="35"/>
      <c r="O44" s="35"/>
      <c r="P44" s="35"/>
      <c r="Q44" s="35"/>
      <c r="R44" s="35"/>
      <c r="S44" s="35"/>
      <c r="T44" s="14">
        <v>50</v>
      </c>
      <c r="U44" s="31">
        <f t="shared" si="1"/>
        <v>3337.4</v>
      </c>
      <c r="V44" s="11"/>
      <c r="W44" s="35"/>
      <c r="X44" s="34"/>
      <c r="Y44" s="35"/>
      <c r="Z44" s="34"/>
      <c r="AA44" s="35"/>
      <c r="AB44" s="14">
        <v>50</v>
      </c>
      <c r="AC44" s="31">
        <f t="shared" si="2"/>
        <v>3337.4</v>
      </c>
      <c r="AD44" s="35"/>
      <c r="AE44" s="35"/>
      <c r="AF44" s="35"/>
      <c r="AG44" s="35"/>
      <c r="AH44" s="35"/>
      <c r="AI44" s="35"/>
      <c r="AJ44" s="35"/>
      <c r="AK44" s="11"/>
      <c r="AL44" s="33">
        <f t="shared" si="3"/>
        <v>6674.8</v>
      </c>
    </row>
    <row r="45" spans="2:38" ht="30.2" customHeight="1" x14ac:dyDescent="0.25">
      <c r="B45" s="14">
        <v>21102</v>
      </c>
      <c r="C45" s="25" t="s">
        <v>75</v>
      </c>
      <c r="D45" s="14">
        <v>0</v>
      </c>
      <c r="E45" s="26">
        <v>119</v>
      </c>
      <c r="F45" s="14" t="s">
        <v>41</v>
      </c>
      <c r="G45" s="27" t="s">
        <v>42</v>
      </c>
      <c r="H45" s="28" t="s">
        <v>43</v>
      </c>
      <c r="I45" s="143" t="s">
        <v>44</v>
      </c>
      <c r="J45" s="144"/>
      <c r="K45" s="38">
        <f>49.76*1.1</f>
        <v>54.736000000000004</v>
      </c>
      <c r="L45" s="29">
        <f t="shared" si="0"/>
        <v>6513.5840000000007</v>
      </c>
      <c r="M45" s="34"/>
      <c r="N45" s="35"/>
      <c r="O45" s="35"/>
      <c r="P45" s="35"/>
      <c r="Q45" s="35"/>
      <c r="R45" s="35"/>
      <c r="S45" s="35"/>
      <c r="T45" s="14">
        <v>60</v>
      </c>
      <c r="U45" s="31">
        <f t="shared" si="1"/>
        <v>3284.1600000000003</v>
      </c>
      <c r="V45" s="11"/>
      <c r="W45" s="35"/>
      <c r="X45" s="34"/>
      <c r="Y45" s="35"/>
      <c r="Z45" s="34"/>
      <c r="AA45" s="35"/>
      <c r="AB45" s="14">
        <v>60</v>
      </c>
      <c r="AC45" s="31">
        <f t="shared" si="2"/>
        <v>3284.1600000000003</v>
      </c>
      <c r="AD45" s="35"/>
      <c r="AE45" s="35"/>
      <c r="AF45" s="35"/>
      <c r="AG45" s="35"/>
      <c r="AH45" s="35"/>
      <c r="AI45" s="35"/>
      <c r="AJ45" s="35"/>
      <c r="AK45" s="11"/>
      <c r="AL45" s="33">
        <f t="shared" si="3"/>
        <v>6568.3200000000006</v>
      </c>
    </row>
    <row r="46" spans="2:38" ht="30.2" customHeight="1" x14ac:dyDescent="0.25">
      <c r="B46" s="14">
        <v>21102</v>
      </c>
      <c r="C46" s="25" t="s">
        <v>76</v>
      </c>
      <c r="D46" s="14">
        <v>0</v>
      </c>
      <c r="E46" s="26">
        <v>119</v>
      </c>
      <c r="F46" s="14" t="s">
        <v>41</v>
      </c>
      <c r="G46" s="27" t="s">
        <v>42</v>
      </c>
      <c r="H46" s="28" t="s">
        <v>43</v>
      </c>
      <c r="I46" s="143" t="s">
        <v>44</v>
      </c>
      <c r="J46" s="144"/>
      <c r="K46" s="36">
        <f>25.73</f>
        <v>25.73</v>
      </c>
      <c r="L46" s="29">
        <f t="shared" si="0"/>
        <v>3061.87</v>
      </c>
      <c r="M46" s="34"/>
      <c r="N46" s="35"/>
      <c r="O46" s="35"/>
      <c r="P46" s="35"/>
      <c r="Q46" s="35"/>
      <c r="R46" s="35"/>
      <c r="S46" s="35"/>
      <c r="T46" s="14">
        <v>60</v>
      </c>
      <c r="U46" s="31">
        <f t="shared" si="1"/>
        <v>1543.8</v>
      </c>
      <c r="V46" s="11"/>
      <c r="W46" s="35"/>
      <c r="X46" s="34"/>
      <c r="Y46" s="35"/>
      <c r="Z46" s="34"/>
      <c r="AA46" s="35"/>
      <c r="AB46" s="14">
        <v>60</v>
      </c>
      <c r="AC46" s="31">
        <f t="shared" si="2"/>
        <v>1543.8</v>
      </c>
      <c r="AD46" s="35"/>
      <c r="AE46" s="35"/>
      <c r="AF46" s="35"/>
      <c r="AG46" s="35"/>
      <c r="AH46" s="35"/>
      <c r="AI46" s="35"/>
      <c r="AJ46" s="35"/>
      <c r="AK46" s="11"/>
      <c r="AL46" s="33">
        <f t="shared" si="3"/>
        <v>3087.6</v>
      </c>
    </row>
    <row r="47" spans="2:38" ht="30.2" customHeight="1" x14ac:dyDescent="0.25">
      <c r="B47" s="14">
        <v>21102</v>
      </c>
      <c r="C47" s="25" t="s">
        <v>77</v>
      </c>
      <c r="D47" s="14">
        <v>0</v>
      </c>
      <c r="E47" s="26">
        <v>100</v>
      </c>
      <c r="F47" s="14" t="s">
        <v>41</v>
      </c>
      <c r="G47" s="27" t="s">
        <v>42</v>
      </c>
      <c r="H47" s="28" t="s">
        <v>43</v>
      </c>
      <c r="I47" s="143" t="s">
        <v>44</v>
      </c>
      <c r="J47" s="144"/>
      <c r="K47" s="36">
        <f>19.34*1.1</f>
        <v>21.274000000000001</v>
      </c>
      <c r="L47" s="29">
        <f t="shared" si="0"/>
        <v>2127.4</v>
      </c>
      <c r="M47" s="34"/>
      <c r="N47" s="35"/>
      <c r="O47" s="35"/>
      <c r="P47" s="35"/>
      <c r="Q47" s="35"/>
      <c r="R47" s="35"/>
      <c r="S47" s="35"/>
      <c r="T47" s="14">
        <v>50</v>
      </c>
      <c r="U47" s="31">
        <f t="shared" si="1"/>
        <v>1063.7</v>
      </c>
      <c r="V47" s="11"/>
      <c r="W47" s="35"/>
      <c r="X47" s="34"/>
      <c r="Y47" s="35"/>
      <c r="Z47" s="34"/>
      <c r="AA47" s="35"/>
      <c r="AB47" s="14">
        <v>50</v>
      </c>
      <c r="AC47" s="31">
        <f t="shared" si="2"/>
        <v>1063.7</v>
      </c>
      <c r="AD47" s="35"/>
      <c r="AE47" s="35"/>
      <c r="AF47" s="35"/>
      <c r="AG47" s="35"/>
      <c r="AH47" s="35"/>
      <c r="AI47" s="35"/>
      <c r="AJ47" s="35"/>
      <c r="AK47" s="11"/>
      <c r="AL47" s="33">
        <f t="shared" si="3"/>
        <v>2127.4</v>
      </c>
    </row>
    <row r="48" spans="2:38" ht="30.2" customHeight="1" x14ac:dyDescent="0.25">
      <c r="B48" s="14">
        <v>21102</v>
      </c>
      <c r="C48" s="25" t="s">
        <v>78</v>
      </c>
      <c r="D48" s="14">
        <v>0</v>
      </c>
      <c r="E48" s="26">
        <v>144</v>
      </c>
      <c r="F48" s="14" t="s">
        <v>41</v>
      </c>
      <c r="G48" s="27" t="s">
        <v>42</v>
      </c>
      <c r="H48" s="28" t="s">
        <v>43</v>
      </c>
      <c r="I48" s="143" t="s">
        <v>44</v>
      </c>
      <c r="J48" s="144"/>
      <c r="K48" s="36">
        <f>11.62*1.1</f>
        <v>12.782</v>
      </c>
      <c r="L48" s="29">
        <f t="shared" si="0"/>
        <v>1840.6079999999999</v>
      </c>
      <c r="M48" s="34"/>
      <c r="N48" s="35"/>
      <c r="O48" s="35"/>
      <c r="P48" s="35"/>
      <c r="Q48" s="35"/>
      <c r="R48" s="35"/>
      <c r="S48" s="35"/>
      <c r="T48" s="14">
        <v>72</v>
      </c>
      <c r="U48" s="31">
        <f t="shared" si="1"/>
        <v>920.30399999999997</v>
      </c>
      <c r="V48" s="11"/>
      <c r="W48" s="35"/>
      <c r="X48" s="34"/>
      <c r="Y48" s="35"/>
      <c r="Z48" s="34"/>
      <c r="AA48" s="35"/>
      <c r="AB48" s="14">
        <v>72</v>
      </c>
      <c r="AC48" s="31">
        <f t="shared" si="2"/>
        <v>920.30399999999997</v>
      </c>
      <c r="AD48" s="35"/>
      <c r="AE48" s="35"/>
      <c r="AF48" s="35"/>
      <c r="AG48" s="35"/>
      <c r="AH48" s="35"/>
      <c r="AI48" s="35"/>
      <c r="AJ48" s="35"/>
      <c r="AK48" s="11"/>
      <c r="AL48" s="33">
        <f t="shared" si="3"/>
        <v>1840.6079999999999</v>
      </c>
    </row>
    <row r="49" spans="2:38" ht="30.2" customHeight="1" x14ac:dyDescent="0.25">
      <c r="B49" s="14">
        <v>21102</v>
      </c>
      <c r="C49" s="25" t="s">
        <v>79</v>
      </c>
      <c r="D49" s="14">
        <v>0</v>
      </c>
      <c r="E49" s="26">
        <v>200</v>
      </c>
      <c r="F49" s="14" t="s">
        <v>49</v>
      </c>
      <c r="G49" s="27" t="s">
        <v>42</v>
      </c>
      <c r="H49" s="28" t="s">
        <v>43</v>
      </c>
      <c r="I49" s="143" t="s">
        <v>44</v>
      </c>
      <c r="J49" s="144"/>
      <c r="K49" s="36">
        <f>26.34*1.1</f>
        <v>28.974000000000004</v>
      </c>
      <c r="L49" s="29">
        <f t="shared" si="0"/>
        <v>5794.8000000000011</v>
      </c>
      <c r="M49" s="34"/>
      <c r="N49" s="35"/>
      <c r="O49" s="35"/>
      <c r="P49" s="35"/>
      <c r="Q49" s="35"/>
      <c r="R49" s="35"/>
      <c r="S49" s="35"/>
      <c r="T49" s="14">
        <v>100</v>
      </c>
      <c r="U49" s="31">
        <f t="shared" si="1"/>
        <v>2897.4000000000005</v>
      </c>
      <c r="V49" s="11"/>
      <c r="W49" s="35"/>
      <c r="X49" s="34"/>
      <c r="Y49" s="35"/>
      <c r="Z49" s="34"/>
      <c r="AA49" s="35"/>
      <c r="AB49" s="14">
        <v>100</v>
      </c>
      <c r="AC49" s="31">
        <f t="shared" si="2"/>
        <v>2897.4000000000005</v>
      </c>
      <c r="AD49" s="35"/>
      <c r="AE49" s="35"/>
      <c r="AF49" s="35"/>
      <c r="AG49" s="35"/>
      <c r="AH49" s="35"/>
      <c r="AI49" s="35"/>
      <c r="AJ49" s="35"/>
      <c r="AK49" s="11"/>
      <c r="AL49" s="33">
        <f t="shared" si="3"/>
        <v>5794.8000000000011</v>
      </c>
    </row>
    <row r="50" spans="2:38" ht="30.2" customHeight="1" x14ac:dyDescent="0.25">
      <c r="B50" s="14">
        <v>21102</v>
      </c>
      <c r="C50" s="25" t="s">
        <v>80</v>
      </c>
      <c r="D50" s="14">
        <v>0</v>
      </c>
      <c r="E50" s="26">
        <v>100</v>
      </c>
      <c r="F50" s="14" t="s">
        <v>49</v>
      </c>
      <c r="G50" s="27" t="s">
        <v>42</v>
      </c>
      <c r="H50" s="28" t="s">
        <v>43</v>
      </c>
      <c r="I50" s="143" t="s">
        <v>44</v>
      </c>
      <c r="J50" s="144"/>
      <c r="K50" s="36">
        <f>26.1*1.1</f>
        <v>28.710000000000004</v>
      </c>
      <c r="L50" s="29">
        <f t="shared" si="0"/>
        <v>2871.0000000000005</v>
      </c>
      <c r="M50" s="34"/>
      <c r="N50" s="35"/>
      <c r="O50" s="35"/>
      <c r="P50" s="35"/>
      <c r="Q50" s="35"/>
      <c r="R50" s="35"/>
      <c r="S50" s="35"/>
      <c r="T50" s="14">
        <v>50</v>
      </c>
      <c r="U50" s="31">
        <f t="shared" si="1"/>
        <v>1435.5000000000002</v>
      </c>
      <c r="V50" s="11"/>
      <c r="W50" s="35"/>
      <c r="X50" s="34"/>
      <c r="Y50" s="35"/>
      <c r="Z50" s="34"/>
      <c r="AA50" s="35"/>
      <c r="AB50" s="14">
        <v>50</v>
      </c>
      <c r="AC50" s="31">
        <f t="shared" si="2"/>
        <v>1435.5000000000002</v>
      </c>
      <c r="AD50" s="35"/>
      <c r="AE50" s="35"/>
      <c r="AF50" s="35"/>
      <c r="AG50" s="35"/>
      <c r="AH50" s="35"/>
      <c r="AI50" s="35"/>
      <c r="AJ50" s="35"/>
      <c r="AK50" s="11"/>
      <c r="AL50" s="33">
        <f t="shared" si="3"/>
        <v>2871.0000000000005</v>
      </c>
    </row>
    <row r="51" spans="2:38" ht="30.2" customHeight="1" x14ac:dyDescent="0.25">
      <c r="B51" s="14">
        <v>21102</v>
      </c>
      <c r="C51" s="25" t="s">
        <v>81</v>
      </c>
      <c r="D51" s="14">
        <v>0</v>
      </c>
      <c r="E51" s="26">
        <v>30</v>
      </c>
      <c r="F51" s="14" t="s">
        <v>49</v>
      </c>
      <c r="G51" s="27" t="s">
        <v>42</v>
      </c>
      <c r="H51" s="28" t="s">
        <v>43</v>
      </c>
      <c r="I51" s="143" t="s">
        <v>44</v>
      </c>
      <c r="J51" s="144"/>
      <c r="K51" s="36">
        <f>127.6*1.1</f>
        <v>140.36000000000001</v>
      </c>
      <c r="L51" s="29">
        <f t="shared" si="0"/>
        <v>4210.8</v>
      </c>
      <c r="M51" s="34"/>
      <c r="N51" s="35"/>
      <c r="O51" s="35"/>
      <c r="P51" s="35"/>
      <c r="Q51" s="35"/>
      <c r="R51" s="35"/>
      <c r="S51" s="35"/>
      <c r="T51" s="14">
        <v>15</v>
      </c>
      <c r="U51" s="31">
        <f t="shared" si="1"/>
        <v>2105.4</v>
      </c>
      <c r="V51" s="11"/>
      <c r="W51" s="35"/>
      <c r="X51" s="34"/>
      <c r="Y51" s="35"/>
      <c r="Z51" s="34"/>
      <c r="AA51" s="35"/>
      <c r="AB51" s="14">
        <v>15</v>
      </c>
      <c r="AC51" s="31">
        <f t="shared" si="2"/>
        <v>2105.4</v>
      </c>
      <c r="AD51" s="35"/>
      <c r="AE51" s="35"/>
      <c r="AF51" s="35"/>
      <c r="AG51" s="35"/>
      <c r="AH51" s="35"/>
      <c r="AI51" s="35"/>
      <c r="AJ51" s="35"/>
      <c r="AK51" s="11"/>
      <c r="AL51" s="33">
        <f t="shared" si="3"/>
        <v>4210.8</v>
      </c>
    </row>
    <row r="52" spans="2:38" ht="30.2" customHeight="1" x14ac:dyDescent="0.25">
      <c r="B52" s="14">
        <v>21102</v>
      </c>
      <c r="C52" s="25" t="s">
        <v>82</v>
      </c>
      <c r="D52" s="14">
        <v>0</v>
      </c>
      <c r="E52" s="26">
        <v>5</v>
      </c>
      <c r="F52" s="14" t="s">
        <v>49</v>
      </c>
      <c r="G52" s="27" t="s">
        <v>42</v>
      </c>
      <c r="H52" s="28" t="s">
        <v>43</v>
      </c>
      <c r="I52" s="143" t="s">
        <v>44</v>
      </c>
      <c r="J52" s="144"/>
      <c r="K52" s="36">
        <v>360</v>
      </c>
      <c r="L52" s="29">
        <f t="shared" si="0"/>
        <v>1800</v>
      </c>
      <c r="M52" s="34"/>
      <c r="N52" s="35"/>
      <c r="O52" s="35"/>
      <c r="P52" s="35"/>
      <c r="Q52" s="35"/>
      <c r="R52" s="35"/>
      <c r="S52" s="35"/>
      <c r="T52" s="14">
        <v>3</v>
      </c>
      <c r="U52" s="31">
        <f t="shared" si="1"/>
        <v>1080</v>
      </c>
      <c r="V52" s="11"/>
      <c r="W52" s="35"/>
      <c r="X52" s="34"/>
      <c r="Y52" s="35"/>
      <c r="Z52" s="34"/>
      <c r="AA52" s="35"/>
      <c r="AB52" s="14">
        <v>2</v>
      </c>
      <c r="AC52" s="31">
        <f t="shared" si="2"/>
        <v>720</v>
      </c>
      <c r="AD52" s="35"/>
      <c r="AE52" s="35"/>
      <c r="AF52" s="35"/>
      <c r="AG52" s="35"/>
      <c r="AH52" s="35"/>
      <c r="AI52" s="35"/>
      <c r="AJ52" s="35"/>
      <c r="AK52" s="11"/>
      <c r="AL52" s="33">
        <f t="shared" si="3"/>
        <v>1800</v>
      </c>
    </row>
    <row r="53" spans="2:38" ht="30.2" customHeight="1" x14ac:dyDescent="0.25">
      <c r="B53" s="14">
        <v>21102</v>
      </c>
      <c r="C53" s="25" t="s">
        <v>83</v>
      </c>
      <c r="D53" s="14">
        <v>0</v>
      </c>
      <c r="E53" s="26">
        <v>75</v>
      </c>
      <c r="F53" s="14" t="s">
        <v>49</v>
      </c>
      <c r="G53" s="27" t="s">
        <v>42</v>
      </c>
      <c r="H53" s="28" t="s">
        <v>43</v>
      </c>
      <c r="I53" s="143" t="s">
        <v>44</v>
      </c>
      <c r="J53" s="144"/>
      <c r="K53" s="36">
        <f>30*1.1</f>
        <v>33</v>
      </c>
      <c r="L53" s="29">
        <f t="shared" si="0"/>
        <v>2475</v>
      </c>
      <c r="M53" s="34"/>
      <c r="N53" s="35"/>
      <c r="O53" s="35"/>
      <c r="P53" s="35"/>
      <c r="Q53" s="35"/>
      <c r="R53" s="35"/>
      <c r="S53" s="35"/>
      <c r="T53" s="14">
        <v>38</v>
      </c>
      <c r="U53" s="31">
        <f t="shared" si="1"/>
        <v>1254</v>
      </c>
      <c r="V53" s="11"/>
      <c r="W53" s="35"/>
      <c r="X53" s="34"/>
      <c r="Y53" s="35"/>
      <c r="Z53" s="34"/>
      <c r="AA53" s="35"/>
      <c r="AB53" s="14">
        <v>38</v>
      </c>
      <c r="AC53" s="31">
        <f t="shared" si="2"/>
        <v>1254</v>
      </c>
      <c r="AD53" s="35"/>
      <c r="AE53" s="35"/>
      <c r="AF53" s="35"/>
      <c r="AG53" s="35"/>
      <c r="AH53" s="35"/>
      <c r="AI53" s="35"/>
      <c r="AJ53" s="35"/>
      <c r="AK53" s="11"/>
      <c r="AL53" s="33">
        <f t="shared" si="3"/>
        <v>2508</v>
      </c>
    </row>
    <row r="54" spans="2:38" ht="36.75" customHeight="1" x14ac:dyDescent="0.25">
      <c r="B54" s="14">
        <v>21102</v>
      </c>
      <c r="C54" s="25" t="s">
        <v>84</v>
      </c>
      <c r="D54" s="14">
        <v>0</v>
      </c>
      <c r="E54" s="26">
        <v>21</v>
      </c>
      <c r="F54" s="14" t="s">
        <v>49</v>
      </c>
      <c r="G54" s="27" t="s">
        <v>42</v>
      </c>
      <c r="H54" s="28" t="s">
        <v>43</v>
      </c>
      <c r="I54" s="143" t="s">
        <v>44</v>
      </c>
      <c r="J54" s="144"/>
      <c r="K54" s="38">
        <f>145*1.1</f>
        <v>159.5</v>
      </c>
      <c r="L54" s="29">
        <f t="shared" si="0"/>
        <v>3349.5</v>
      </c>
      <c r="M54" s="34"/>
      <c r="N54" s="35"/>
      <c r="O54" s="35"/>
      <c r="P54" s="35"/>
      <c r="Q54" s="35"/>
      <c r="R54" s="35"/>
      <c r="S54" s="35"/>
      <c r="T54" s="14">
        <v>11</v>
      </c>
      <c r="U54" s="31">
        <f t="shared" si="1"/>
        <v>1754.5</v>
      </c>
      <c r="V54" s="11"/>
      <c r="W54" s="35"/>
      <c r="X54" s="34"/>
      <c r="Y54" s="35"/>
      <c r="Z54" s="34"/>
      <c r="AA54" s="35"/>
      <c r="AB54" s="14">
        <v>11</v>
      </c>
      <c r="AC54" s="31">
        <f t="shared" si="2"/>
        <v>1754.5</v>
      </c>
      <c r="AD54" s="35"/>
      <c r="AE54" s="35"/>
      <c r="AF54" s="35"/>
      <c r="AG54" s="35"/>
      <c r="AH54" s="35"/>
      <c r="AI54" s="35"/>
      <c r="AJ54" s="35"/>
      <c r="AK54" s="11"/>
      <c r="AL54" s="33">
        <f t="shared" si="3"/>
        <v>3509</v>
      </c>
    </row>
    <row r="55" spans="2:38" ht="45.75" customHeight="1" x14ac:dyDescent="0.25">
      <c r="B55" s="14">
        <v>21102</v>
      </c>
      <c r="C55" s="25" t="s">
        <v>85</v>
      </c>
      <c r="D55" s="14">
        <v>0</v>
      </c>
      <c r="E55" s="26">
        <v>12</v>
      </c>
      <c r="F55" s="14" t="s">
        <v>49</v>
      </c>
      <c r="G55" s="27" t="s">
        <v>42</v>
      </c>
      <c r="H55" s="28" t="s">
        <v>43</v>
      </c>
      <c r="I55" s="143" t="s">
        <v>44</v>
      </c>
      <c r="J55" s="144"/>
      <c r="K55" s="38">
        <f>47.68*1.1</f>
        <v>52.448</v>
      </c>
      <c r="L55" s="29">
        <f t="shared" si="0"/>
        <v>629.37599999999998</v>
      </c>
      <c r="M55" s="34"/>
      <c r="N55" s="35"/>
      <c r="O55" s="35"/>
      <c r="P55" s="35"/>
      <c r="Q55" s="35"/>
      <c r="R55" s="35"/>
      <c r="S55" s="35"/>
      <c r="T55" s="14">
        <v>6</v>
      </c>
      <c r="U55" s="31">
        <f t="shared" si="1"/>
        <v>314.68799999999999</v>
      </c>
      <c r="V55" s="11"/>
      <c r="W55" s="35"/>
      <c r="X55" s="34"/>
      <c r="Y55" s="35"/>
      <c r="Z55" s="34"/>
      <c r="AA55" s="35"/>
      <c r="AB55" s="14">
        <v>6</v>
      </c>
      <c r="AC55" s="31">
        <f t="shared" si="2"/>
        <v>314.68799999999999</v>
      </c>
      <c r="AD55" s="35"/>
      <c r="AE55" s="35"/>
      <c r="AF55" s="35"/>
      <c r="AG55" s="35"/>
      <c r="AH55" s="35"/>
      <c r="AI55" s="35"/>
      <c r="AJ55" s="35"/>
      <c r="AK55" s="11"/>
      <c r="AL55" s="33">
        <f t="shared" si="3"/>
        <v>629.37599999999998</v>
      </c>
    </row>
    <row r="56" spans="2:38" ht="39.75" customHeight="1" x14ac:dyDescent="0.25">
      <c r="B56" s="14">
        <v>21102</v>
      </c>
      <c r="C56" s="61" t="s">
        <v>86</v>
      </c>
      <c r="D56" s="14">
        <v>0</v>
      </c>
      <c r="E56" s="26">
        <v>1</v>
      </c>
      <c r="F56" s="14" t="s">
        <v>546</v>
      </c>
      <c r="G56" s="27" t="s">
        <v>42</v>
      </c>
      <c r="H56" s="28" t="s">
        <v>43</v>
      </c>
      <c r="I56" s="143" t="s">
        <v>44</v>
      </c>
      <c r="J56" s="144"/>
      <c r="K56" s="38">
        <v>2389.14</v>
      </c>
      <c r="L56" s="29">
        <f t="shared" si="0"/>
        <v>2389.14</v>
      </c>
      <c r="M56" s="34"/>
      <c r="N56" s="35"/>
      <c r="O56" s="35"/>
      <c r="P56" s="35"/>
      <c r="Q56" s="35"/>
      <c r="R56" s="35"/>
      <c r="S56" s="35"/>
      <c r="T56" s="14">
        <v>33</v>
      </c>
      <c r="U56" s="31">
        <f t="shared" si="1"/>
        <v>78841.62</v>
      </c>
      <c r="V56" s="11"/>
      <c r="W56" s="35"/>
      <c r="X56" s="34"/>
      <c r="Y56" s="35"/>
      <c r="Z56" s="34"/>
      <c r="AA56" s="35"/>
      <c r="AB56" s="14">
        <v>33</v>
      </c>
      <c r="AC56" s="31">
        <f t="shared" si="2"/>
        <v>78841.62</v>
      </c>
      <c r="AD56" s="35"/>
      <c r="AE56" s="35"/>
      <c r="AF56" s="35"/>
      <c r="AG56" s="35"/>
      <c r="AH56" s="35"/>
      <c r="AI56" s="35"/>
      <c r="AJ56" s="35"/>
      <c r="AK56" s="11"/>
      <c r="AL56" s="33">
        <f t="shared" si="3"/>
        <v>157683.24</v>
      </c>
    </row>
    <row r="57" spans="2:38" ht="36" customHeight="1" x14ac:dyDescent="0.25">
      <c r="B57" s="14">
        <v>21102</v>
      </c>
      <c r="C57" s="25" t="s">
        <v>87</v>
      </c>
      <c r="D57" s="14">
        <v>0</v>
      </c>
      <c r="E57" s="26">
        <v>75</v>
      </c>
      <c r="F57" s="14" t="s">
        <v>49</v>
      </c>
      <c r="G57" s="27" t="s">
        <v>42</v>
      </c>
      <c r="H57" s="28" t="s">
        <v>43</v>
      </c>
      <c r="I57" s="143" t="s">
        <v>44</v>
      </c>
      <c r="J57" s="144"/>
      <c r="K57" s="38">
        <f>71.42*1.1</f>
        <v>78.562000000000012</v>
      </c>
      <c r="L57" s="29">
        <f t="shared" si="0"/>
        <v>5892.1500000000005</v>
      </c>
      <c r="M57" s="34"/>
      <c r="N57" s="35"/>
      <c r="O57" s="35"/>
      <c r="P57" s="35"/>
      <c r="Q57" s="35"/>
      <c r="R57" s="35"/>
      <c r="S57" s="35"/>
      <c r="T57" s="14">
        <v>38</v>
      </c>
      <c r="U57" s="31">
        <f t="shared" si="1"/>
        <v>2985.3560000000007</v>
      </c>
      <c r="V57" s="11"/>
      <c r="W57" s="35"/>
      <c r="X57" s="34"/>
      <c r="Y57" s="35"/>
      <c r="Z57" s="34"/>
      <c r="AA57" s="35"/>
      <c r="AB57" s="14">
        <v>38</v>
      </c>
      <c r="AC57" s="31">
        <f t="shared" si="2"/>
        <v>2985.3560000000007</v>
      </c>
      <c r="AD57" s="35"/>
      <c r="AE57" s="35"/>
      <c r="AF57" s="35"/>
      <c r="AG57" s="35"/>
      <c r="AH57" s="35"/>
      <c r="AI57" s="35"/>
      <c r="AJ57" s="35"/>
      <c r="AK57" s="11"/>
      <c r="AL57" s="33">
        <f t="shared" si="3"/>
        <v>5970.7120000000014</v>
      </c>
    </row>
    <row r="58" spans="2:38" ht="57.75" x14ac:dyDescent="0.25">
      <c r="B58" s="14">
        <v>21102</v>
      </c>
      <c r="C58" s="39" t="s">
        <v>88</v>
      </c>
      <c r="D58" s="14">
        <v>0</v>
      </c>
      <c r="E58" s="26">
        <v>9</v>
      </c>
      <c r="F58" s="14" t="s">
        <v>49</v>
      </c>
      <c r="G58" s="27" t="s">
        <v>89</v>
      </c>
      <c r="H58" s="28" t="s">
        <v>43</v>
      </c>
      <c r="I58" s="143" t="s">
        <v>44</v>
      </c>
      <c r="J58" s="144"/>
      <c r="K58" s="17">
        <v>685</v>
      </c>
      <c r="L58" s="17">
        <f t="shared" si="0"/>
        <v>6165</v>
      </c>
      <c r="M58" s="40"/>
      <c r="N58" s="41"/>
      <c r="O58" s="41"/>
      <c r="P58" s="41"/>
      <c r="Q58" s="41"/>
      <c r="R58" s="41"/>
      <c r="S58" s="41"/>
      <c r="T58" s="42">
        <v>5</v>
      </c>
      <c r="U58" s="31">
        <f t="shared" si="1"/>
        <v>3425</v>
      </c>
      <c r="V58" s="11"/>
      <c r="W58" s="41"/>
      <c r="X58" s="43"/>
      <c r="Y58" s="41"/>
      <c r="Z58" s="43"/>
      <c r="AA58" s="41"/>
      <c r="AB58" s="42">
        <v>4</v>
      </c>
      <c r="AC58" s="31">
        <f t="shared" si="2"/>
        <v>2740</v>
      </c>
      <c r="AD58" s="41"/>
      <c r="AE58" s="41"/>
      <c r="AF58" s="41"/>
      <c r="AG58" s="41"/>
      <c r="AH58" s="41"/>
      <c r="AI58" s="41"/>
      <c r="AJ58" s="41"/>
      <c r="AK58" s="41"/>
      <c r="AL58" s="33">
        <f t="shared" si="3"/>
        <v>6165</v>
      </c>
    </row>
    <row r="59" spans="2:38" ht="30.2" customHeight="1" x14ac:dyDescent="0.25">
      <c r="B59" s="14">
        <v>21102</v>
      </c>
      <c r="C59" s="25" t="s">
        <v>90</v>
      </c>
      <c r="D59" s="14">
        <v>0</v>
      </c>
      <c r="E59" s="26">
        <v>5</v>
      </c>
      <c r="F59" s="14" t="s">
        <v>49</v>
      </c>
      <c r="G59" s="27" t="s">
        <v>89</v>
      </c>
      <c r="H59" s="28" t="s">
        <v>43</v>
      </c>
      <c r="I59" s="143" t="s">
        <v>44</v>
      </c>
      <c r="J59" s="144"/>
      <c r="K59" s="36">
        <f>600-2.26</f>
        <v>597.74</v>
      </c>
      <c r="L59" s="17">
        <f t="shared" si="0"/>
        <v>2988.7</v>
      </c>
      <c r="M59" s="34"/>
      <c r="N59" s="35"/>
      <c r="O59" s="35"/>
      <c r="P59" s="35"/>
      <c r="Q59" s="35"/>
      <c r="R59" s="35"/>
      <c r="S59" s="35"/>
      <c r="T59" s="14">
        <v>2</v>
      </c>
      <c r="U59" s="31">
        <f t="shared" si="1"/>
        <v>1195.48</v>
      </c>
      <c r="V59" s="11"/>
      <c r="W59" s="35"/>
      <c r="X59" s="34"/>
      <c r="Y59" s="35"/>
      <c r="Z59" s="34"/>
      <c r="AA59" s="35"/>
      <c r="AB59" s="14">
        <v>2</v>
      </c>
      <c r="AC59" s="31">
        <f t="shared" si="2"/>
        <v>1195.48</v>
      </c>
      <c r="AD59" s="35"/>
      <c r="AE59" s="35"/>
      <c r="AF59" s="35"/>
      <c r="AG59" s="35"/>
      <c r="AH59" s="35"/>
      <c r="AI59" s="35"/>
      <c r="AJ59" s="35"/>
      <c r="AK59" s="11"/>
      <c r="AL59" s="33">
        <f t="shared" si="3"/>
        <v>2390.96</v>
      </c>
    </row>
    <row r="60" spans="2:38" ht="30.2" customHeight="1" x14ac:dyDescent="0.25">
      <c r="B60" s="26">
        <v>21103</v>
      </c>
      <c r="C60" s="61" t="s">
        <v>487</v>
      </c>
      <c r="D60" s="26"/>
      <c r="E60" s="26">
        <v>1</v>
      </c>
      <c r="F60" s="14" t="s">
        <v>49</v>
      </c>
      <c r="G60" s="27" t="s">
        <v>89</v>
      </c>
      <c r="H60" s="28" t="s">
        <v>43</v>
      </c>
      <c r="I60" s="143" t="s">
        <v>44</v>
      </c>
      <c r="J60" s="144"/>
      <c r="K60" s="38">
        <v>506</v>
      </c>
      <c r="L60" s="81">
        <f>+E60*K60</f>
        <v>506</v>
      </c>
      <c r="M60" s="66"/>
      <c r="N60" s="35"/>
      <c r="O60" s="35"/>
      <c r="P60" s="35"/>
      <c r="Q60" s="35"/>
      <c r="R60" s="35"/>
      <c r="S60" s="35"/>
      <c r="T60" s="14"/>
      <c r="U60" s="31"/>
      <c r="V60" s="11"/>
      <c r="W60" s="35"/>
      <c r="X60" s="34"/>
      <c r="Y60" s="35"/>
      <c r="Z60" s="34"/>
      <c r="AA60" s="35"/>
      <c r="AB60" s="14"/>
      <c r="AC60" s="31"/>
      <c r="AD60" s="35"/>
      <c r="AE60" s="35"/>
      <c r="AF60" s="35"/>
      <c r="AG60" s="35"/>
      <c r="AH60" s="35"/>
      <c r="AI60" s="35"/>
      <c r="AJ60" s="35"/>
      <c r="AK60" s="11"/>
      <c r="AL60" s="33"/>
    </row>
    <row r="61" spans="2:38" ht="30.2" customHeight="1" x14ac:dyDescent="0.25">
      <c r="B61" s="26">
        <v>21104</v>
      </c>
      <c r="C61" s="61" t="s">
        <v>488</v>
      </c>
      <c r="D61" s="26"/>
      <c r="E61" s="26">
        <v>1</v>
      </c>
      <c r="F61" s="14" t="s">
        <v>49</v>
      </c>
      <c r="G61" s="27" t="s">
        <v>89</v>
      </c>
      <c r="H61" s="28" t="s">
        <v>43</v>
      </c>
      <c r="I61" s="143" t="s">
        <v>44</v>
      </c>
      <c r="J61" s="144"/>
      <c r="K61" s="38">
        <v>6</v>
      </c>
      <c r="L61" s="81">
        <f>+E61*K61</f>
        <v>6</v>
      </c>
      <c r="M61" s="66"/>
      <c r="N61" s="35"/>
      <c r="O61" s="35"/>
      <c r="P61" s="35"/>
      <c r="Q61" s="35"/>
      <c r="R61" s="35"/>
      <c r="S61" s="35"/>
      <c r="T61" s="14"/>
      <c r="U61" s="31"/>
      <c r="V61" s="11"/>
      <c r="W61" s="35"/>
      <c r="X61" s="34"/>
      <c r="Y61" s="35"/>
      <c r="Z61" s="34"/>
      <c r="AA61" s="35"/>
      <c r="AB61" s="14"/>
      <c r="AC61" s="31"/>
      <c r="AD61" s="35"/>
      <c r="AE61" s="35"/>
      <c r="AF61" s="35"/>
      <c r="AG61" s="35"/>
      <c r="AH61" s="35"/>
      <c r="AI61" s="35"/>
      <c r="AJ61" s="35"/>
      <c r="AK61" s="11"/>
      <c r="AL61" s="33"/>
    </row>
    <row r="62" spans="2:38" ht="30.2" customHeight="1" x14ac:dyDescent="0.25">
      <c r="B62" s="26">
        <v>21105</v>
      </c>
      <c r="C62" s="61" t="s">
        <v>489</v>
      </c>
      <c r="D62" s="26"/>
      <c r="E62" s="26">
        <v>1</v>
      </c>
      <c r="F62" s="14" t="s">
        <v>49</v>
      </c>
      <c r="G62" s="27" t="s">
        <v>89</v>
      </c>
      <c r="H62" s="28" t="s">
        <v>43</v>
      </c>
      <c r="I62" s="143" t="s">
        <v>44</v>
      </c>
      <c r="J62" s="144"/>
      <c r="K62" s="38">
        <v>374</v>
      </c>
      <c r="L62" s="81">
        <f>+E62*K62</f>
        <v>374</v>
      </c>
      <c r="M62" s="66"/>
      <c r="N62" s="35"/>
      <c r="O62" s="35"/>
      <c r="P62" s="35"/>
      <c r="Q62" s="35"/>
      <c r="R62" s="35"/>
      <c r="S62" s="35"/>
      <c r="T62" s="14"/>
      <c r="U62" s="31"/>
      <c r="V62" s="11"/>
      <c r="W62" s="35"/>
      <c r="X62" s="34"/>
      <c r="Y62" s="35"/>
      <c r="Z62" s="34"/>
      <c r="AA62" s="35"/>
      <c r="AB62" s="14"/>
      <c r="AC62" s="31"/>
      <c r="AD62" s="35"/>
      <c r="AE62" s="35"/>
      <c r="AF62" s="35"/>
      <c r="AG62" s="35"/>
      <c r="AH62" s="35"/>
      <c r="AI62" s="35"/>
      <c r="AJ62" s="35"/>
      <c r="AK62" s="11"/>
      <c r="AL62" s="33"/>
    </row>
    <row r="63" spans="2:38" x14ac:dyDescent="0.25">
      <c r="B63" s="19">
        <v>21106</v>
      </c>
      <c r="C63" s="19"/>
      <c r="D63" s="19"/>
      <c r="E63" s="19"/>
      <c r="F63" s="19"/>
      <c r="G63" s="19"/>
      <c r="H63" s="19"/>
      <c r="I63" s="147"/>
      <c r="J63" s="148"/>
      <c r="K63" s="20"/>
      <c r="L63" s="22">
        <f>SUM(L64:L97)</f>
        <v>246538.58203999998</v>
      </c>
      <c r="M63" s="44">
        <v>100000</v>
      </c>
      <c r="N63" s="11"/>
      <c r="O63" s="24"/>
      <c r="P63" s="41"/>
      <c r="Q63" s="41"/>
      <c r="R63" s="41"/>
      <c r="S63" s="41"/>
      <c r="T63" s="43"/>
      <c r="U63" s="31"/>
      <c r="V63" s="41"/>
      <c r="W63" s="41"/>
      <c r="X63" s="43"/>
      <c r="Y63" s="41"/>
      <c r="Z63" s="43"/>
      <c r="AA63" s="41"/>
      <c r="AB63" s="43"/>
      <c r="AC63" s="41"/>
      <c r="AD63" s="41"/>
      <c r="AE63" s="41"/>
      <c r="AF63" s="41"/>
      <c r="AG63" s="41"/>
      <c r="AH63" s="41"/>
      <c r="AI63" s="41"/>
      <c r="AJ63" s="41"/>
      <c r="AK63" s="41"/>
      <c r="AL63" s="33"/>
    </row>
    <row r="64" spans="2:38" ht="57.75" x14ac:dyDescent="0.25">
      <c r="B64" s="14">
        <v>21106</v>
      </c>
      <c r="C64" s="25" t="s">
        <v>66</v>
      </c>
      <c r="D64" s="14">
        <v>0</v>
      </c>
      <c r="E64" s="26">
        <v>100</v>
      </c>
      <c r="F64" s="14" t="s">
        <v>49</v>
      </c>
      <c r="G64" s="27" t="s">
        <v>42</v>
      </c>
      <c r="H64" s="28" t="s">
        <v>43</v>
      </c>
      <c r="I64" s="143" t="s">
        <v>44</v>
      </c>
      <c r="J64" s="144"/>
      <c r="K64" s="36">
        <f>17.26*1.1+0.0074</f>
        <v>18.993400000000005</v>
      </c>
      <c r="L64" s="29">
        <f t="shared" ref="L64:L97" si="5">E64*K64</f>
        <v>1899.3400000000004</v>
      </c>
      <c r="M64" s="44"/>
      <c r="N64" s="41"/>
      <c r="O64" s="41"/>
      <c r="P64" s="41"/>
      <c r="Q64" s="41"/>
      <c r="R64" s="41"/>
      <c r="S64" s="41"/>
      <c r="T64" s="45">
        <v>50</v>
      </c>
      <c r="U64" s="31">
        <f t="shared" ref="U64:U131" si="6">T64*K64</f>
        <v>949.67000000000019</v>
      </c>
      <c r="V64" s="31"/>
      <c r="W64" s="41"/>
      <c r="X64" s="43"/>
      <c r="Y64" s="41"/>
      <c r="Z64" s="43"/>
      <c r="AA64" s="41"/>
      <c r="AB64" s="45">
        <v>50</v>
      </c>
      <c r="AC64" s="31">
        <f t="shared" ref="AC64:AC101" si="7">AB64*K64</f>
        <v>949.67000000000019</v>
      </c>
      <c r="AD64" s="41"/>
      <c r="AE64" s="41"/>
      <c r="AF64" s="41"/>
      <c r="AG64" s="41"/>
      <c r="AH64" s="41"/>
      <c r="AI64" s="41"/>
      <c r="AJ64" s="41"/>
      <c r="AK64" s="41"/>
      <c r="AL64" s="33">
        <f t="shared" si="3"/>
        <v>1899.3400000000004</v>
      </c>
    </row>
    <row r="65" spans="2:38" ht="57.75" x14ac:dyDescent="0.25">
      <c r="B65" s="14">
        <v>21106</v>
      </c>
      <c r="C65" s="25" t="s">
        <v>91</v>
      </c>
      <c r="D65" s="14">
        <v>0</v>
      </c>
      <c r="E65" s="26">
        <v>100</v>
      </c>
      <c r="F65" s="14" t="s">
        <v>49</v>
      </c>
      <c r="G65" s="27" t="s">
        <v>42</v>
      </c>
      <c r="H65" s="28" t="s">
        <v>43</v>
      </c>
      <c r="I65" s="143" t="s">
        <v>44</v>
      </c>
      <c r="J65" s="144"/>
      <c r="K65" s="36">
        <f>23.2*1.1</f>
        <v>25.52</v>
      </c>
      <c r="L65" s="29">
        <f t="shared" si="5"/>
        <v>2552</v>
      </c>
      <c r="M65" s="44"/>
      <c r="N65" s="41"/>
      <c r="O65" s="41"/>
      <c r="P65" s="41"/>
      <c r="Q65" s="41"/>
      <c r="R65" s="41"/>
      <c r="S65" s="41"/>
      <c r="T65" s="45">
        <v>50</v>
      </c>
      <c r="U65" s="31">
        <f t="shared" si="6"/>
        <v>1276</v>
      </c>
      <c r="V65" s="41"/>
      <c r="W65" s="41"/>
      <c r="X65" s="43"/>
      <c r="Y65" s="41"/>
      <c r="Z65" s="43"/>
      <c r="AA65" s="41"/>
      <c r="AB65" s="45">
        <v>50</v>
      </c>
      <c r="AC65" s="31">
        <f t="shared" si="7"/>
        <v>1276</v>
      </c>
      <c r="AD65" s="41"/>
      <c r="AE65" s="41"/>
      <c r="AF65" s="41"/>
      <c r="AG65" s="41"/>
      <c r="AH65" s="41"/>
      <c r="AI65" s="41"/>
      <c r="AJ65" s="41"/>
      <c r="AK65" s="41"/>
      <c r="AL65" s="33">
        <f t="shared" si="3"/>
        <v>2552</v>
      </c>
    </row>
    <row r="66" spans="2:38" ht="57.75" x14ac:dyDescent="0.25">
      <c r="B66" s="14">
        <v>21106</v>
      </c>
      <c r="C66" s="25" t="s">
        <v>92</v>
      </c>
      <c r="D66" s="14">
        <v>0</v>
      </c>
      <c r="E66" s="26">
        <v>150</v>
      </c>
      <c r="F66" s="14" t="s">
        <v>41</v>
      </c>
      <c r="G66" s="27" t="s">
        <v>42</v>
      </c>
      <c r="H66" s="28" t="s">
        <v>43</v>
      </c>
      <c r="I66" s="143" t="s">
        <v>44</v>
      </c>
      <c r="J66" s="144"/>
      <c r="K66" s="36">
        <f>59.16*1.1</f>
        <v>65.076000000000008</v>
      </c>
      <c r="L66" s="29">
        <f t="shared" si="5"/>
        <v>9761.4000000000015</v>
      </c>
      <c r="M66" s="44"/>
      <c r="N66" s="41"/>
      <c r="O66" s="41"/>
      <c r="P66" s="41"/>
      <c r="Q66" s="41"/>
      <c r="R66" s="41"/>
      <c r="S66" s="41"/>
      <c r="T66" s="45">
        <v>75</v>
      </c>
      <c r="U66" s="31">
        <f t="shared" si="6"/>
        <v>4880.7000000000007</v>
      </c>
      <c r="V66" s="41"/>
      <c r="W66" s="41"/>
      <c r="X66" s="43"/>
      <c r="Y66" s="41"/>
      <c r="Z66" s="43"/>
      <c r="AA66" s="41"/>
      <c r="AB66" s="45">
        <v>75</v>
      </c>
      <c r="AC66" s="31">
        <f t="shared" si="7"/>
        <v>4880.7000000000007</v>
      </c>
      <c r="AD66" s="41"/>
      <c r="AE66" s="41"/>
      <c r="AF66" s="41"/>
      <c r="AG66" s="41"/>
      <c r="AH66" s="41"/>
      <c r="AI66" s="41"/>
      <c r="AJ66" s="41"/>
      <c r="AK66" s="41"/>
      <c r="AL66" s="33">
        <f t="shared" si="3"/>
        <v>9761.4000000000015</v>
      </c>
    </row>
    <row r="67" spans="2:38" ht="57.75" x14ac:dyDescent="0.25">
      <c r="B67" s="14">
        <v>21106</v>
      </c>
      <c r="C67" s="25" t="s">
        <v>93</v>
      </c>
      <c r="D67" s="14">
        <v>0</v>
      </c>
      <c r="E67" s="26">
        <v>100</v>
      </c>
      <c r="F67" s="14" t="s">
        <v>41</v>
      </c>
      <c r="G67" s="27" t="s">
        <v>42</v>
      </c>
      <c r="H67" s="28" t="s">
        <v>43</v>
      </c>
      <c r="I67" s="143" t="s">
        <v>44</v>
      </c>
      <c r="J67" s="144"/>
      <c r="K67" s="36">
        <f>40.72*1.1</f>
        <v>44.792000000000002</v>
      </c>
      <c r="L67" s="29">
        <f t="shared" si="5"/>
        <v>4479.2</v>
      </c>
      <c r="M67" s="44"/>
      <c r="N67" s="41"/>
      <c r="O67" s="41"/>
      <c r="P67" s="41"/>
      <c r="Q67" s="41"/>
      <c r="R67" s="41"/>
      <c r="S67" s="41"/>
      <c r="T67" s="45">
        <v>50</v>
      </c>
      <c r="U67" s="31">
        <f t="shared" si="6"/>
        <v>2239.6</v>
      </c>
      <c r="V67" s="41"/>
      <c r="W67" s="41"/>
      <c r="X67" s="43"/>
      <c r="Y67" s="41"/>
      <c r="Z67" s="43"/>
      <c r="AA67" s="41"/>
      <c r="AB67" s="45">
        <v>50</v>
      </c>
      <c r="AC67" s="31">
        <f t="shared" si="7"/>
        <v>2239.6</v>
      </c>
      <c r="AD67" s="41"/>
      <c r="AE67" s="41"/>
      <c r="AF67" s="41"/>
      <c r="AG67" s="41"/>
      <c r="AH67" s="41"/>
      <c r="AI67" s="41"/>
      <c r="AJ67" s="41"/>
      <c r="AK67" s="41"/>
      <c r="AL67" s="33">
        <f t="shared" si="3"/>
        <v>4479.2</v>
      </c>
    </row>
    <row r="68" spans="2:38" ht="57.75" x14ac:dyDescent="0.25">
      <c r="B68" s="14">
        <v>21106</v>
      </c>
      <c r="C68" s="25" t="s">
        <v>94</v>
      </c>
      <c r="D68" s="14">
        <v>0</v>
      </c>
      <c r="E68" s="26">
        <v>80</v>
      </c>
      <c r="F68" s="14" t="s">
        <v>41</v>
      </c>
      <c r="G68" s="27" t="s">
        <v>42</v>
      </c>
      <c r="H68" s="28" t="s">
        <v>43</v>
      </c>
      <c r="I68" s="143" t="s">
        <v>44</v>
      </c>
      <c r="J68" s="144"/>
      <c r="K68" s="36">
        <f>116*1.1</f>
        <v>127.60000000000001</v>
      </c>
      <c r="L68" s="29">
        <f t="shared" si="5"/>
        <v>10208</v>
      </c>
      <c r="M68" s="44"/>
      <c r="N68" s="41"/>
      <c r="O68" s="41"/>
      <c r="P68" s="41"/>
      <c r="Q68" s="41"/>
      <c r="R68" s="41"/>
      <c r="S68" s="41"/>
      <c r="T68" s="45">
        <v>40</v>
      </c>
      <c r="U68" s="31">
        <f t="shared" si="6"/>
        <v>5104</v>
      </c>
      <c r="V68" s="41"/>
      <c r="W68" s="41"/>
      <c r="X68" s="43"/>
      <c r="Y68" s="41"/>
      <c r="Z68" s="43"/>
      <c r="AA68" s="41"/>
      <c r="AB68" s="45">
        <v>40</v>
      </c>
      <c r="AC68" s="31">
        <f t="shared" si="7"/>
        <v>5104</v>
      </c>
      <c r="AD68" s="41"/>
      <c r="AE68" s="41"/>
      <c r="AF68" s="41"/>
      <c r="AG68" s="41"/>
      <c r="AH68" s="41"/>
      <c r="AI68" s="41"/>
      <c r="AJ68" s="41"/>
      <c r="AK68" s="41"/>
      <c r="AL68" s="33">
        <f t="shared" si="3"/>
        <v>10208</v>
      </c>
    </row>
    <row r="69" spans="2:38" ht="57.75" x14ac:dyDescent="0.25">
      <c r="B69" s="14">
        <v>21106</v>
      </c>
      <c r="C69" s="25" t="s">
        <v>95</v>
      </c>
      <c r="D69" s="14">
        <v>0</v>
      </c>
      <c r="E69" s="26">
        <v>50</v>
      </c>
      <c r="F69" s="14" t="s">
        <v>49</v>
      </c>
      <c r="G69" s="27" t="s">
        <v>42</v>
      </c>
      <c r="H69" s="28" t="s">
        <v>43</v>
      </c>
      <c r="I69" s="143" t="s">
        <v>44</v>
      </c>
      <c r="J69" s="144"/>
      <c r="K69" s="36">
        <f>42.84*1.1</f>
        <v>47.124000000000009</v>
      </c>
      <c r="L69" s="29">
        <f t="shared" si="5"/>
        <v>2356.2000000000003</v>
      </c>
      <c r="M69" s="44"/>
      <c r="N69" s="41"/>
      <c r="O69" s="41"/>
      <c r="P69" s="41"/>
      <c r="Q69" s="41"/>
      <c r="R69" s="41"/>
      <c r="S69" s="41"/>
      <c r="T69" s="45">
        <v>25</v>
      </c>
      <c r="U69" s="31">
        <f t="shared" si="6"/>
        <v>1178.1000000000001</v>
      </c>
      <c r="V69" s="41"/>
      <c r="W69" s="41"/>
      <c r="X69" s="43"/>
      <c r="Y69" s="41"/>
      <c r="Z69" s="43"/>
      <c r="AA69" s="41"/>
      <c r="AB69" s="45">
        <v>25</v>
      </c>
      <c r="AC69" s="31">
        <f t="shared" si="7"/>
        <v>1178.1000000000001</v>
      </c>
      <c r="AD69" s="41"/>
      <c r="AE69" s="41"/>
      <c r="AF69" s="41"/>
      <c r="AG69" s="41"/>
      <c r="AH69" s="41"/>
      <c r="AI69" s="41"/>
      <c r="AJ69" s="41"/>
      <c r="AK69" s="41"/>
      <c r="AL69" s="33">
        <f t="shared" si="3"/>
        <v>2356.2000000000003</v>
      </c>
    </row>
    <row r="70" spans="2:38" ht="57.75" x14ac:dyDescent="0.25">
      <c r="B70" s="14">
        <v>21106</v>
      </c>
      <c r="C70" s="25" t="s">
        <v>96</v>
      </c>
      <c r="D70" s="14">
        <v>0</v>
      </c>
      <c r="E70" s="26">
        <v>100</v>
      </c>
      <c r="F70" s="14" t="s">
        <v>41</v>
      </c>
      <c r="G70" s="27" t="s">
        <v>42</v>
      </c>
      <c r="H70" s="28" t="s">
        <v>43</v>
      </c>
      <c r="I70" s="143" t="s">
        <v>44</v>
      </c>
      <c r="J70" s="144"/>
      <c r="K70" s="36">
        <f>49.88*1.1</f>
        <v>54.868000000000009</v>
      </c>
      <c r="L70" s="29">
        <f t="shared" si="5"/>
        <v>5486.8000000000011</v>
      </c>
      <c r="M70" s="44"/>
      <c r="N70" s="41"/>
      <c r="O70" s="41"/>
      <c r="P70" s="41"/>
      <c r="Q70" s="41"/>
      <c r="R70" s="41"/>
      <c r="S70" s="41"/>
      <c r="T70" s="45">
        <v>50</v>
      </c>
      <c r="U70" s="31">
        <f t="shared" si="6"/>
        <v>2743.4000000000005</v>
      </c>
      <c r="V70" s="41"/>
      <c r="W70" s="41"/>
      <c r="X70" s="43"/>
      <c r="Y70" s="41"/>
      <c r="Z70" s="43"/>
      <c r="AA70" s="41"/>
      <c r="AB70" s="45">
        <v>50</v>
      </c>
      <c r="AC70" s="31">
        <f t="shared" si="7"/>
        <v>2743.4000000000005</v>
      </c>
      <c r="AD70" s="41"/>
      <c r="AE70" s="41"/>
      <c r="AF70" s="41"/>
      <c r="AG70" s="41"/>
      <c r="AH70" s="41"/>
      <c r="AI70" s="41"/>
      <c r="AJ70" s="41"/>
      <c r="AK70" s="41"/>
      <c r="AL70" s="33">
        <f t="shared" si="3"/>
        <v>5486.8000000000011</v>
      </c>
    </row>
    <row r="71" spans="2:38" ht="57.75" x14ac:dyDescent="0.25">
      <c r="B71" s="14">
        <v>21106</v>
      </c>
      <c r="C71" s="25" t="s">
        <v>97</v>
      </c>
      <c r="D71" s="14">
        <v>0</v>
      </c>
      <c r="E71" s="26">
        <v>102</v>
      </c>
      <c r="F71" s="14" t="s">
        <v>41</v>
      </c>
      <c r="G71" s="27" t="s">
        <v>42</v>
      </c>
      <c r="H71" s="28" t="s">
        <v>43</v>
      </c>
      <c r="I71" s="143" t="s">
        <v>44</v>
      </c>
      <c r="J71" s="144"/>
      <c r="K71" s="36">
        <f>36.56*1.1</f>
        <v>40.216000000000008</v>
      </c>
      <c r="L71" s="29">
        <f t="shared" si="5"/>
        <v>4102.0320000000011</v>
      </c>
      <c r="M71" s="44"/>
      <c r="N71" s="41"/>
      <c r="O71" s="41"/>
      <c r="P71" s="41"/>
      <c r="Q71" s="41"/>
      <c r="R71" s="41"/>
      <c r="S71" s="41"/>
      <c r="T71" s="45">
        <v>50</v>
      </c>
      <c r="U71" s="31">
        <f t="shared" si="6"/>
        <v>2010.8000000000004</v>
      </c>
      <c r="V71" s="41"/>
      <c r="W71" s="41"/>
      <c r="X71" s="43"/>
      <c r="Y71" s="41"/>
      <c r="Z71" s="43"/>
      <c r="AA71" s="41"/>
      <c r="AB71" s="45">
        <v>50</v>
      </c>
      <c r="AC71" s="31">
        <f t="shared" si="7"/>
        <v>2010.8000000000004</v>
      </c>
      <c r="AD71" s="41"/>
      <c r="AE71" s="41"/>
      <c r="AF71" s="41"/>
      <c r="AG71" s="41"/>
      <c r="AH71" s="41"/>
      <c r="AI71" s="41"/>
      <c r="AJ71" s="41"/>
      <c r="AK71" s="41"/>
      <c r="AL71" s="33">
        <f t="shared" si="3"/>
        <v>4021.6000000000008</v>
      </c>
    </row>
    <row r="72" spans="2:38" ht="57.75" x14ac:dyDescent="0.25">
      <c r="B72" s="14">
        <v>21106</v>
      </c>
      <c r="C72" s="25" t="s">
        <v>98</v>
      </c>
      <c r="D72" s="14">
        <v>0</v>
      </c>
      <c r="E72" s="26">
        <v>1000</v>
      </c>
      <c r="F72" s="14" t="s">
        <v>49</v>
      </c>
      <c r="G72" s="27" t="s">
        <v>42</v>
      </c>
      <c r="H72" s="28" t="s">
        <v>43</v>
      </c>
      <c r="I72" s="143" t="s">
        <v>44</v>
      </c>
      <c r="J72" s="144"/>
      <c r="K72" s="38">
        <f>2.4*1.1</f>
        <v>2.64</v>
      </c>
      <c r="L72" s="29">
        <f t="shared" si="5"/>
        <v>2640</v>
      </c>
      <c r="M72" s="44"/>
      <c r="N72" s="41"/>
      <c r="O72" s="41"/>
      <c r="P72" s="41"/>
      <c r="Q72" s="41"/>
      <c r="R72" s="41"/>
      <c r="S72" s="41"/>
      <c r="T72" s="45">
        <v>500</v>
      </c>
      <c r="U72" s="31">
        <f t="shared" si="6"/>
        <v>1320</v>
      </c>
      <c r="V72" s="41"/>
      <c r="W72" s="41"/>
      <c r="X72" s="43"/>
      <c r="Y72" s="41"/>
      <c r="Z72" s="43"/>
      <c r="AA72" s="41"/>
      <c r="AB72" s="45">
        <v>500</v>
      </c>
      <c r="AC72" s="31">
        <f t="shared" si="7"/>
        <v>1320</v>
      </c>
      <c r="AD72" s="41"/>
      <c r="AE72" s="41"/>
      <c r="AF72" s="41"/>
      <c r="AG72" s="41"/>
      <c r="AH72" s="41"/>
      <c r="AI72" s="41"/>
      <c r="AJ72" s="41"/>
      <c r="AK72" s="41"/>
      <c r="AL72" s="33">
        <f t="shared" si="3"/>
        <v>2640</v>
      </c>
    </row>
    <row r="73" spans="2:38" ht="57.75" x14ac:dyDescent="0.25">
      <c r="B73" s="14">
        <v>21106</v>
      </c>
      <c r="C73" s="25" t="s">
        <v>99</v>
      </c>
      <c r="D73" s="14">
        <v>0</v>
      </c>
      <c r="E73" s="26">
        <v>120</v>
      </c>
      <c r="F73" s="14" t="s">
        <v>49</v>
      </c>
      <c r="G73" s="27" t="s">
        <v>42</v>
      </c>
      <c r="H73" s="28" t="s">
        <v>43</v>
      </c>
      <c r="I73" s="143" t="s">
        <v>44</v>
      </c>
      <c r="J73" s="144"/>
      <c r="K73" s="36">
        <f>12.18*1.1</f>
        <v>13.398000000000001</v>
      </c>
      <c r="L73" s="29">
        <f t="shared" si="5"/>
        <v>1607.7600000000002</v>
      </c>
      <c r="M73" s="44"/>
      <c r="N73" s="41"/>
      <c r="O73" s="41"/>
      <c r="P73" s="41"/>
      <c r="Q73" s="41"/>
      <c r="R73" s="41"/>
      <c r="S73" s="41"/>
      <c r="T73" s="45">
        <v>60</v>
      </c>
      <c r="U73" s="31">
        <f t="shared" si="6"/>
        <v>803.88000000000011</v>
      </c>
      <c r="V73" s="41"/>
      <c r="W73" s="41"/>
      <c r="X73" s="43"/>
      <c r="Y73" s="41"/>
      <c r="Z73" s="43"/>
      <c r="AA73" s="41"/>
      <c r="AB73" s="45">
        <v>60</v>
      </c>
      <c r="AC73" s="31">
        <f t="shared" si="7"/>
        <v>803.88000000000011</v>
      </c>
      <c r="AD73" s="41"/>
      <c r="AE73" s="41"/>
      <c r="AF73" s="41"/>
      <c r="AG73" s="41"/>
      <c r="AH73" s="41"/>
      <c r="AI73" s="41"/>
      <c r="AJ73" s="41"/>
      <c r="AK73" s="41"/>
      <c r="AL73" s="33">
        <f t="shared" si="3"/>
        <v>1607.7600000000002</v>
      </c>
    </row>
    <row r="74" spans="2:38" ht="57.75" x14ac:dyDescent="0.25">
      <c r="B74" s="14">
        <v>21106</v>
      </c>
      <c r="C74" s="25" t="s">
        <v>100</v>
      </c>
      <c r="D74" s="14">
        <v>0</v>
      </c>
      <c r="E74" s="26">
        <v>300</v>
      </c>
      <c r="F74" s="14" t="s">
        <v>49</v>
      </c>
      <c r="G74" s="27" t="s">
        <v>42</v>
      </c>
      <c r="H74" s="28" t="s">
        <v>43</v>
      </c>
      <c r="I74" s="143" t="s">
        <v>44</v>
      </c>
      <c r="J74" s="144"/>
      <c r="K74" s="36">
        <f>12.18*1.1</f>
        <v>13.398000000000001</v>
      </c>
      <c r="L74" s="29">
        <f t="shared" si="5"/>
        <v>4019.4000000000005</v>
      </c>
      <c r="M74" s="44"/>
      <c r="N74" s="41"/>
      <c r="O74" s="41"/>
      <c r="P74" s="41"/>
      <c r="Q74" s="41"/>
      <c r="R74" s="41"/>
      <c r="S74" s="41"/>
      <c r="T74" s="45">
        <v>150</v>
      </c>
      <c r="U74" s="31">
        <f t="shared" si="6"/>
        <v>2009.7000000000003</v>
      </c>
      <c r="V74" s="41"/>
      <c r="W74" s="41"/>
      <c r="X74" s="43"/>
      <c r="Y74" s="41"/>
      <c r="Z74" s="43"/>
      <c r="AA74" s="41"/>
      <c r="AB74" s="45">
        <v>150</v>
      </c>
      <c r="AC74" s="31">
        <f t="shared" si="7"/>
        <v>2009.7000000000003</v>
      </c>
      <c r="AD74" s="41"/>
      <c r="AE74" s="41"/>
      <c r="AF74" s="41"/>
      <c r="AG74" s="41"/>
      <c r="AH74" s="41"/>
      <c r="AI74" s="41"/>
      <c r="AJ74" s="41"/>
      <c r="AK74" s="41"/>
      <c r="AL74" s="33">
        <f t="shared" si="3"/>
        <v>4019.4000000000005</v>
      </c>
    </row>
    <row r="75" spans="2:38" ht="57.75" x14ac:dyDescent="0.25">
      <c r="B75" s="14">
        <v>21106</v>
      </c>
      <c r="C75" s="25" t="s">
        <v>101</v>
      </c>
      <c r="D75" s="14">
        <v>0</v>
      </c>
      <c r="E75" s="26">
        <v>150</v>
      </c>
      <c r="F75" s="14" t="s">
        <v>49</v>
      </c>
      <c r="G75" s="27" t="s">
        <v>42</v>
      </c>
      <c r="H75" s="28" t="s">
        <v>43</v>
      </c>
      <c r="I75" s="143" t="s">
        <v>44</v>
      </c>
      <c r="J75" s="144"/>
      <c r="K75" s="38">
        <f>161.24*1.1/(25)</f>
        <v>7.0945600000000013</v>
      </c>
      <c r="L75" s="29">
        <f t="shared" si="5"/>
        <v>1064.1840000000002</v>
      </c>
      <c r="M75" s="44"/>
      <c r="N75" s="41"/>
      <c r="O75" s="41"/>
      <c r="P75" s="41"/>
      <c r="Q75" s="41"/>
      <c r="R75" s="41"/>
      <c r="S75" s="41"/>
      <c r="T75" s="45">
        <v>75</v>
      </c>
      <c r="U75" s="31">
        <f t="shared" si="6"/>
        <v>532.0920000000001</v>
      </c>
      <c r="V75" s="41"/>
      <c r="W75" s="41"/>
      <c r="X75" s="43"/>
      <c r="Y75" s="41"/>
      <c r="Z75" s="43"/>
      <c r="AA75" s="41"/>
      <c r="AB75" s="45">
        <v>75</v>
      </c>
      <c r="AC75" s="31">
        <f t="shared" si="7"/>
        <v>532.0920000000001</v>
      </c>
      <c r="AD75" s="41"/>
      <c r="AE75" s="41"/>
      <c r="AF75" s="41"/>
      <c r="AG75" s="41"/>
      <c r="AH75" s="41"/>
      <c r="AI75" s="41"/>
      <c r="AJ75" s="41"/>
      <c r="AK75" s="41"/>
      <c r="AL75" s="33">
        <f t="shared" si="3"/>
        <v>1064.1840000000002</v>
      </c>
    </row>
    <row r="76" spans="2:38" ht="57.75" x14ac:dyDescent="0.25">
      <c r="B76" s="14">
        <v>21106</v>
      </c>
      <c r="C76" s="25" t="s">
        <v>102</v>
      </c>
      <c r="D76" s="14">
        <v>35</v>
      </c>
      <c r="E76" s="26">
        <v>200</v>
      </c>
      <c r="F76" s="14" t="s">
        <v>49</v>
      </c>
      <c r="G76" s="27" t="s">
        <v>42</v>
      </c>
      <c r="H76" s="28" t="s">
        <v>43</v>
      </c>
      <c r="I76" s="143" t="s">
        <v>44</v>
      </c>
      <c r="J76" s="144"/>
      <c r="K76" s="38">
        <f>207.64*1.1/(100)</f>
        <v>2.2840400000000001</v>
      </c>
      <c r="L76" s="29">
        <f t="shared" si="5"/>
        <v>456.80799999999999</v>
      </c>
      <c r="M76" s="44"/>
      <c r="N76" s="41"/>
      <c r="O76" s="41"/>
      <c r="P76" s="41"/>
      <c r="Q76" s="41"/>
      <c r="R76" s="41"/>
      <c r="S76" s="41"/>
      <c r="T76" s="45">
        <v>100</v>
      </c>
      <c r="U76" s="31">
        <f t="shared" si="6"/>
        <v>228.404</v>
      </c>
      <c r="V76" s="41"/>
      <c r="W76" s="41"/>
      <c r="X76" s="43"/>
      <c r="Y76" s="41"/>
      <c r="Z76" s="43"/>
      <c r="AA76" s="41"/>
      <c r="AB76" s="45">
        <v>100</v>
      </c>
      <c r="AC76" s="31">
        <f t="shared" si="7"/>
        <v>228.404</v>
      </c>
      <c r="AD76" s="41"/>
      <c r="AE76" s="41"/>
      <c r="AF76" s="41"/>
      <c r="AG76" s="41"/>
      <c r="AH76" s="41"/>
      <c r="AI76" s="41"/>
      <c r="AJ76" s="41"/>
      <c r="AK76" s="41"/>
      <c r="AL76" s="33">
        <f t="shared" si="3"/>
        <v>456.80799999999999</v>
      </c>
    </row>
    <row r="77" spans="2:38" ht="57.75" x14ac:dyDescent="0.25">
      <c r="B77" s="14">
        <v>21106</v>
      </c>
      <c r="C77" s="25" t="s">
        <v>103</v>
      </c>
      <c r="D77" s="14">
        <v>0</v>
      </c>
      <c r="E77" s="26">
        <v>201</v>
      </c>
      <c r="F77" s="14" t="s">
        <v>49</v>
      </c>
      <c r="G77" s="27" t="s">
        <v>42</v>
      </c>
      <c r="H77" s="28" t="s">
        <v>43</v>
      </c>
      <c r="I77" s="143" t="s">
        <v>44</v>
      </c>
      <c r="J77" s="144"/>
      <c r="K77" s="38">
        <f>323.64*1.1/(100)</f>
        <v>3.5600400000000003</v>
      </c>
      <c r="L77" s="29">
        <f t="shared" si="5"/>
        <v>715.56804000000011</v>
      </c>
      <c r="M77" s="44"/>
      <c r="N77" s="41"/>
      <c r="O77" s="41"/>
      <c r="P77" s="41"/>
      <c r="Q77" s="41"/>
      <c r="R77" s="41"/>
      <c r="S77" s="41"/>
      <c r="T77" s="45">
        <v>100</v>
      </c>
      <c r="U77" s="31">
        <f t="shared" si="6"/>
        <v>356.00400000000002</v>
      </c>
      <c r="V77" s="41"/>
      <c r="W77" s="41"/>
      <c r="X77" s="43"/>
      <c r="Y77" s="41"/>
      <c r="Z77" s="43"/>
      <c r="AA77" s="41"/>
      <c r="AB77" s="45">
        <v>100</v>
      </c>
      <c r="AC77" s="31">
        <f t="shared" si="7"/>
        <v>356.00400000000002</v>
      </c>
      <c r="AD77" s="41"/>
      <c r="AE77" s="41"/>
      <c r="AF77" s="41"/>
      <c r="AG77" s="41"/>
      <c r="AH77" s="41"/>
      <c r="AI77" s="41"/>
      <c r="AJ77" s="41"/>
      <c r="AK77" s="41"/>
      <c r="AL77" s="33">
        <f t="shared" si="3"/>
        <v>712.00800000000004</v>
      </c>
    </row>
    <row r="78" spans="2:38" ht="57.75" x14ac:dyDescent="0.25">
      <c r="B78" s="14">
        <v>21106</v>
      </c>
      <c r="C78" s="25" t="s">
        <v>104</v>
      </c>
      <c r="D78" s="14">
        <v>0</v>
      </c>
      <c r="E78" s="26">
        <v>200</v>
      </c>
      <c r="F78" s="14" t="s">
        <v>49</v>
      </c>
      <c r="G78" s="27" t="s">
        <v>42</v>
      </c>
      <c r="H78" s="28" t="s">
        <v>43</v>
      </c>
      <c r="I78" s="143" t="s">
        <v>44</v>
      </c>
      <c r="J78" s="144"/>
      <c r="K78" s="38">
        <f>1*1.1</f>
        <v>1.1000000000000001</v>
      </c>
      <c r="L78" s="29">
        <f t="shared" si="5"/>
        <v>220.00000000000003</v>
      </c>
      <c r="M78" s="44"/>
      <c r="N78" s="41"/>
      <c r="O78" s="41"/>
      <c r="P78" s="41"/>
      <c r="Q78" s="41"/>
      <c r="R78" s="41"/>
      <c r="S78" s="41"/>
      <c r="T78" s="45">
        <v>100</v>
      </c>
      <c r="U78" s="31">
        <f t="shared" si="6"/>
        <v>110.00000000000001</v>
      </c>
      <c r="V78" s="41"/>
      <c r="W78" s="41"/>
      <c r="X78" s="43"/>
      <c r="Y78" s="41"/>
      <c r="Z78" s="43"/>
      <c r="AA78" s="41"/>
      <c r="AB78" s="45">
        <v>100</v>
      </c>
      <c r="AC78" s="31">
        <f t="shared" si="7"/>
        <v>110.00000000000001</v>
      </c>
      <c r="AD78" s="41"/>
      <c r="AE78" s="41"/>
      <c r="AF78" s="41"/>
      <c r="AG78" s="41"/>
      <c r="AH78" s="41"/>
      <c r="AI78" s="41"/>
      <c r="AJ78" s="41"/>
      <c r="AK78" s="41"/>
      <c r="AL78" s="33">
        <f t="shared" si="3"/>
        <v>220.00000000000003</v>
      </c>
    </row>
    <row r="79" spans="2:38" ht="57.75" x14ac:dyDescent="0.25">
      <c r="B79" s="14">
        <v>21106</v>
      </c>
      <c r="C79" s="25" t="s">
        <v>105</v>
      </c>
      <c r="D79" s="14">
        <v>0</v>
      </c>
      <c r="E79" s="26">
        <v>300</v>
      </c>
      <c r="F79" s="14" t="s">
        <v>49</v>
      </c>
      <c r="G79" s="27" t="s">
        <v>42</v>
      </c>
      <c r="H79" s="28" t="s">
        <v>43</v>
      </c>
      <c r="I79" s="143" t="s">
        <v>44</v>
      </c>
      <c r="J79" s="144"/>
      <c r="K79" s="36">
        <f>76.3*1.1</f>
        <v>83.93</v>
      </c>
      <c r="L79" s="29">
        <f t="shared" si="5"/>
        <v>25179.000000000004</v>
      </c>
      <c r="M79" s="44"/>
      <c r="N79" s="41"/>
      <c r="O79" s="41"/>
      <c r="P79" s="41"/>
      <c r="Q79" s="41"/>
      <c r="R79" s="41"/>
      <c r="S79" s="41"/>
      <c r="T79" s="45">
        <v>150</v>
      </c>
      <c r="U79" s="31">
        <f t="shared" si="6"/>
        <v>12589.500000000002</v>
      </c>
      <c r="V79" s="41"/>
      <c r="W79" s="41"/>
      <c r="X79" s="43"/>
      <c r="Y79" s="41"/>
      <c r="Z79" s="43"/>
      <c r="AA79" s="41"/>
      <c r="AB79" s="45">
        <v>150</v>
      </c>
      <c r="AC79" s="31">
        <f t="shared" si="7"/>
        <v>12589.500000000002</v>
      </c>
      <c r="AD79" s="41"/>
      <c r="AE79" s="41"/>
      <c r="AF79" s="41"/>
      <c r="AG79" s="41"/>
      <c r="AH79" s="41"/>
      <c r="AI79" s="41"/>
      <c r="AJ79" s="41"/>
      <c r="AK79" s="41"/>
      <c r="AL79" s="33">
        <f t="shared" si="3"/>
        <v>25179.000000000004</v>
      </c>
    </row>
    <row r="80" spans="2:38" ht="30.2" customHeight="1" x14ac:dyDescent="0.25">
      <c r="B80" s="14">
        <v>21106</v>
      </c>
      <c r="C80" s="46" t="s">
        <v>106</v>
      </c>
      <c r="D80" s="12">
        <v>0</v>
      </c>
      <c r="E80" s="47">
        <v>443</v>
      </c>
      <c r="F80" s="12" t="s">
        <v>41</v>
      </c>
      <c r="G80" s="27" t="s">
        <v>42</v>
      </c>
      <c r="H80" s="28" t="s">
        <v>43</v>
      </c>
      <c r="I80" s="143" t="s">
        <v>44</v>
      </c>
      <c r="J80" s="144"/>
      <c r="K80" s="36">
        <f>79*1.1</f>
        <v>86.9</v>
      </c>
      <c r="L80" s="29">
        <f t="shared" si="5"/>
        <v>38496.700000000004</v>
      </c>
      <c r="M80" s="34"/>
      <c r="N80" s="35"/>
      <c r="O80" s="35"/>
      <c r="P80" s="35"/>
      <c r="Q80" s="35"/>
      <c r="R80" s="35"/>
      <c r="S80" s="35"/>
      <c r="T80" s="14">
        <v>200</v>
      </c>
      <c r="U80" s="31">
        <f t="shared" si="6"/>
        <v>17380</v>
      </c>
      <c r="V80" s="11"/>
      <c r="W80" s="35"/>
      <c r="X80" s="34"/>
      <c r="Y80" s="35"/>
      <c r="Z80" s="34"/>
      <c r="AA80" s="35"/>
      <c r="AB80" s="14">
        <v>200</v>
      </c>
      <c r="AC80" s="31">
        <f t="shared" si="7"/>
        <v>17380</v>
      </c>
      <c r="AD80" s="35"/>
      <c r="AE80" s="35"/>
      <c r="AF80" s="35"/>
      <c r="AG80" s="35"/>
      <c r="AH80" s="35"/>
      <c r="AI80" s="35"/>
      <c r="AJ80" s="35"/>
      <c r="AK80" s="11"/>
      <c r="AL80" s="33">
        <f t="shared" si="3"/>
        <v>34760</v>
      </c>
    </row>
    <row r="81" spans="1:38" ht="30.2" customHeight="1" x14ac:dyDescent="0.25">
      <c r="B81" s="14">
        <v>21106</v>
      </c>
      <c r="C81" s="48" t="s">
        <v>107</v>
      </c>
      <c r="D81" s="49">
        <v>0</v>
      </c>
      <c r="E81" s="26">
        <v>201</v>
      </c>
      <c r="F81" s="49" t="s">
        <v>41</v>
      </c>
      <c r="G81" s="27" t="s">
        <v>42</v>
      </c>
      <c r="H81" s="28" t="s">
        <v>43</v>
      </c>
      <c r="I81" s="143" t="s">
        <v>44</v>
      </c>
      <c r="J81" s="144"/>
      <c r="K81" s="36">
        <f>105*1.1</f>
        <v>115.50000000000001</v>
      </c>
      <c r="L81" s="29">
        <f t="shared" si="5"/>
        <v>23215.500000000004</v>
      </c>
      <c r="M81" s="34"/>
      <c r="N81" s="35"/>
      <c r="O81" s="35"/>
      <c r="P81" s="35"/>
      <c r="Q81" s="35"/>
      <c r="R81" s="35"/>
      <c r="S81" s="35"/>
      <c r="T81" s="14">
        <v>100</v>
      </c>
      <c r="U81" s="31">
        <f t="shared" si="6"/>
        <v>11550.000000000002</v>
      </c>
      <c r="V81" s="11"/>
      <c r="W81" s="35"/>
      <c r="X81" s="34"/>
      <c r="Y81" s="35"/>
      <c r="Z81" s="34"/>
      <c r="AA81" s="35"/>
      <c r="AB81" s="14">
        <v>100</v>
      </c>
      <c r="AC81" s="31">
        <f t="shared" si="7"/>
        <v>11550.000000000002</v>
      </c>
      <c r="AD81" s="35"/>
      <c r="AE81" s="35"/>
      <c r="AF81" s="35"/>
      <c r="AG81" s="35"/>
      <c r="AH81" s="35"/>
      <c r="AI81" s="35"/>
      <c r="AJ81" s="35"/>
      <c r="AK81" s="11"/>
      <c r="AL81" s="33">
        <f t="shared" si="3"/>
        <v>23100.000000000004</v>
      </c>
    </row>
    <row r="82" spans="1:38" ht="30.2" customHeight="1" x14ac:dyDescent="0.25">
      <c r="B82" s="14">
        <v>21106</v>
      </c>
      <c r="C82" s="25" t="s">
        <v>108</v>
      </c>
      <c r="D82" s="14">
        <v>0</v>
      </c>
      <c r="E82" s="26">
        <v>300</v>
      </c>
      <c r="F82" s="14" t="s">
        <v>49</v>
      </c>
      <c r="G82" s="27" t="s">
        <v>42</v>
      </c>
      <c r="H82" s="28" t="s">
        <v>43</v>
      </c>
      <c r="I82" s="143" t="s">
        <v>44</v>
      </c>
      <c r="J82" s="144"/>
      <c r="K82" s="38">
        <f t="shared" ref="K82:K87" si="8">95.81*1.1</f>
        <v>105.39100000000001</v>
      </c>
      <c r="L82" s="29">
        <f t="shared" si="5"/>
        <v>31617.300000000003</v>
      </c>
      <c r="M82" s="34"/>
      <c r="N82" s="35"/>
      <c r="O82" s="35"/>
      <c r="P82" s="35"/>
      <c r="Q82" s="35"/>
      <c r="R82" s="35"/>
      <c r="S82" s="35"/>
      <c r="T82" s="14">
        <v>150</v>
      </c>
      <c r="U82" s="31">
        <f t="shared" si="6"/>
        <v>15808.650000000001</v>
      </c>
      <c r="V82" s="11"/>
      <c r="W82" s="35"/>
      <c r="X82" s="34"/>
      <c r="Y82" s="35"/>
      <c r="Z82" s="34"/>
      <c r="AA82" s="35"/>
      <c r="AB82" s="14">
        <v>150</v>
      </c>
      <c r="AC82" s="31">
        <f t="shared" si="7"/>
        <v>15808.650000000001</v>
      </c>
      <c r="AD82" s="35"/>
      <c r="AE82" s="35"/>
      <c r="AF82" s="35"/>
      <c r="AG82" s="35"/>
      <c r="AH82" s="35"/>
      <c r="AI82" s="35"/>
      <c r="AJ82" s="35"/>
      <c r="AK82" s="11"/>
      <c r="AL82" s="33">
        <f t="shared" si="3"/>
        <v>31617.300000000003</v>
      </c>
    </row>
    <row r="83" spans="1:38" ht="30.2" customHeight="1" x14ac:dyDescent="0.25">
      <c r="B83" s="14">
        <v>21106</v>
      </c>
      <c r="C83" s="25" t="s">
        <v>109</v>
      </c>
      <c r="D83" s="14">
        <v>0</v>
      </c>
      <c r="E83" s="26">
        <v>11</v>
      </c>
      <c r="F83" s="14" t="s">
        <v>41</v>
      </c>
      <c r="G83" s="27" t="s">
        <v>42</v>
      </c>
      <c r="H83" s="28" t="s">
        <v>43</v>
      </c>
      <c r="I83" s="143" t="s">
        <v>44</v>
      </c>
      <c r="J83" s="144"/>
      <c r="K83" s="38">
        <f t="shared" si="8"/>
        <v>105.39100000000001</v>
      </c>
      <c r="L83" s="29">
        <f t="shared" si="5"/>
        <v>1159.3010000000002</v>
      </c>
      <c r="M83" s="34"/>
      <c r="N83" s="35"/>
      <c r="O83" s="35"/>
      <c r="P83" s="35"/>
      <c r="Q83" s="35"/>
      <c r="R83" s="35"/>
      <c r="S83" s="35"/>
      <c r="T83" s="14">
        <v>6</v>
      </c>
      <c r="U83" s="31">
        <f t="shared" si="6"/>
        <v>632.346</v>
      </c>
      <c r="V83" s="11"/>
      <c r="W83" s="35"/>
      <c r="X83" s="34"/>
      <c r="Y83" s="35"/>
      <c r="Z83" s="34"/>
      <c r="AA83" s="35"/>
      <c r="AB83" s="14">
        <v>6</v>
      </c>
      <c r="AC83" s="31">
        <f t="shared" si="7"/>
        <v>632.346</v>
      </c>
      <c r="AD83" s="35"/>
      <c r="AE83" s="35"/>
      <c r="AF83" s="35"/>
      <c r="AG83" s="35"/>
      <c r="AH83" s="35"/>
      <c r="AI83" s="35"/>
      <c r="AJ83" s="35"/>
      <c r="AK83" s="11"/>
      <c r="AL83" s="33">
        <f t="shared" ref="AL83:AL153" si="9">O83+Q83+S83+U83+W83+Y83+AA83+AC83+AE83+AG83+AI83+AK83</f>
        <v>1264.692</v>
      </c>
    </row>
    <row r="84" spans="1:38" ht="30.2" customHeight="1" x14ac:dyDescent="0.25">
      <c r="B84" s="14">
        <v>21106</v>
      </c>
      <c r="C84" s="25" t="s">
        <v>110</v>
      </c>
      <c r="D84" s="14">
        <v>0</v>
      </c>
      <c r="E84" s="26">
        <v>4</v>
      </c>
      <c r="F84" s="14" t="s">
        <v>41</v>
      </c>
      <c r="G84" s="27" t="s">
        <v>42</v>
      </c>
      <c r="H84" s="28" t="s">
        <v>43</v>
      </c>
      <c r="I84" s="143" t="s">
        <v>44</v>
      </c>
      <c r="J84" s="144"/>
      <c r="K84" s="38">
        <f t="shared" si="8"/>
        <v>105.39100000000001</v>
      </c>
      <c r="L84" s="29">
        <f t="shared" si="5"/>
        <v>421.56400000000002</v>
      </c>
      <c r="M84" s="34"/>
      <c r="N84" s="35"/>
      <c r="O84" s="35"/>
      <c r="P84" s="35"/>
      <c r="Q84" s="35"/>
      <c r="R84" s="35"/>
      <c r="S84" s="35"/>
      <c r="T84" s="14">
        <v>2</v>
      </c>
      <c r="U84" s="31">
        <f t="shared" si="6"/>
        <v>210.78200000000001</v>
      </c>
      <c r="V84" s="11"/>
      <c r="W84" s="35"/>
      <c r="X84" s="34"/>
      <c r="Y84" s="35"/>
      <c r="Z84" s="34"/>
      <c r="AA84" s="35"/>
      <c r="AB84" s="14">
        <v>2</v>
      </c>
      <c r="AC84" s="31">
        <f t="shared" si="7"/>
        <v>210.78200000000001</v>
      </c>
      <c r="AD84" s="35"/>
      <c r="AE84" s="35"/>
      <c r="AF84" s="35"/>
      <c r="AG84" s="35"/>
      <c r="AH84" s="35"/>
      <c r="AI84" s="35"/>
      <c r="AJ84" s="35"/>
      <c r="AK84" s="11"/>
      <c r="AL84" s="33">
        <f t="shared" si="9"/>
        <v>421.56400000000002</v>
      </c>
    </row>
    <row r="85" spans="1:38" ht="30.2" customHeight="1" x14ac:dyDescent="0.25">
      <c r="B85" s="14">
        <v>21106</v>
      </c>
      <c r="C85" s="25" t="s">
        <v>111</v>
      </c>
      <c r="D85" s="14">
        <v>0</v>
      </c>
      <c r="E85" s="26">
        <v>14</v>
      </c>
      <c r="F85" s="14" t="s">
        <v>41</v>
      </c>
      <c r="G85" s="27" t="s">
        <v>42</v>
      </c>
      <c r="H85" s="28" t="s">
        <v>43</v>
      </c>
      <c r="I85" s="143" t="s">
        <v>44</v>
      </c>
      <c r="J85" s="144"/>
      <c r="K85" s="38">
        <f t="shared" si="8"/>
        <v>105.39100000000001</v>
      </c>
      <c r="L85" s="29">
        <f t="shared" si="5"/>
        <v>1475.4740000000002</v>
      </c>
      <c r="M85" s="34"/>
      <c r="N85" s="35"/>
      <c r="O85" s="35"/>
      <c r="P85" s="35"/>
      <c r="Q85" s="35"/>
      <c r="R85" s="35"/>
      <c r="S85" s="35"/>
      <c r="T85" s="14">
        <v>7</v>
      </c>
      <c r="U85" s="31">
        <f t="shared" si="6"/>
        <v>737.73700000000008</v>
      </c>
      <c r="V85" s="11"/>
      <c r="W85" s="35"/>
      <c r="X85" s="34"/>
      <c r="Y85" s="35"/>
      <c r="Z85" s="34"/>
      <c r="AA85" s="35"/>
      <c r="AB85" s="14">
        <v>7</v>
      </c>
      <c r="AC85" s="31">
        <f t="shared" si="7"/>
        <v>737.73700000000008</v>
      </c>
      <c r="AD85" s="35"/>
      <c r="AE85" s="35"/>
      <c r="AF85" s="35"/>
      <c r="AG85" s="35"/>
      <c r="AH85" s="35"/>
      <c r="AI85" s="35"/>
      <c r="AJ85" s="35"/>
      <c r="AK85" s="11"/>
      <c r="AL85" s="33">
        <f t="shared" si="9"/>
        <v>1475.4740000000002</v>
      </c>
    </row>
    <row r="86" spans="1:38" ht="30.2" customHeight="1" x14ac:dyDescent="0.25">
      <c r="B86" s="14">
        <v>21106</v>
      </c>
      <c r="C86" s="25" t="s">
        <v>112</v>
      </c>
      <c r="D86" s="14">
        <v>0</v>
      </c>
      <c r="E86" s="26">
        <v>14</v>
      </c>
      <c r="F86" s="14" t="s">
        <v>49</v>
      </c>
      <c r="G86" s="27" t="s">
        <v>42</v>
      </c>
      <c r="H86" s="28" t="s">
        <v>43</v>
      </c>
      <c r="I86" s="143" t="s">
        <v>44</v>
      </c>
      <c r="J86" s="144"/>
      <c r="K86" s="38">
        <f t="shared" si="8"/>
        <v>105.39100000000001</v>
      </c>
      <c r="L86" s="29">
        <f t="shared" si="5"/>
        <v>1475.4740000000002</v>
      </c>
      <c r="M86" s="34"/>
      <c r="N86" s="35"/>
      <c r="O86" s="35"/>
      <c r="P86" s="35"/>
      <c r="Q86" s="35"/>
      <c r="R86" s="35"/>
      <c r="S86" s="35"/>
      <c r="T86" s="14">
        <v>7</v>
      </c>
      <c r="U86" s="31">
        <f t="shared" si="6"/>
        <v>737.73700000000008</v>
      </c>
      <c r="V86" s="11"/>
      <c r="W86" s="35"/>
      <c r="X86" s="34"/>
      <c r="Y86" s="35"/>
      <c r="Z86" s="34"/>
      <c r="AA86" s="35"/>
      <c r="AB86" s="14">
        <v>7</v>
      </c>
      <c r="AC86" s="31">
        <f t="shared" si="7"/>
        <v>737.73700000000008</v>
      </c>
      <c r="AD86" s="35"/>
      <c r="AE86" s="35"/>
      <c r="AF86" s="35"/>
      <c r="AG86" s="35"/>
      <c r="AH86" s="35"/>
      <c r="AI86" s="35"/>
      <c r="AJ86" s="35"/>
      <c r="AK86" s="11"/>
      <c r="AL86" s="33">
        <f t="shared" si="9"/>
        <v>1475.4740000000002</v>
      </c>
    </row>
    <row r="87" spans="1:38" ht="30.2" customHeight="1" x14ac:dyDescent="0.25">
      <c r="B87" s="14">
        <v>21106</v>
      </c>
      <c r="C87" s="25" t="s">
        <v>113</v>
      </c>
      <c r="D87" s="14">
        <v>0</v>
      </c>
      <c r="E87" s="26">
        <v>17</v>
      </c>
      <c r="F87" s="14" t="s">
        <v>41</v>
      </c>
      <c r="G87" s="27" t="s">
        <v>42</v>
      </c>
      <c r="H87" s="28" t="s">
        <v>43</v>
      </c>
      <c r="I87" s="143" t="s">
        <v>44</v>
      </c>
      <c r="J87" s="144"/>
      <c r="K87" s="38">
        <f t="shared" si="8"/>
        <v>105.39100000000001</v>
      </c>
      <c r="L87" s="29">
        <f t="shared" si="5"/>
        <v>1791.6470000000002</v>
      </c>
      <c r="M87" s="34"/>
      <c r="N87" s="35"/>
      <c r="O87" s="35"/>
      <c r="P87" s="35"/>
      <c r="Q87" s="35"/>
      <c r="R87" s="35"/>
      <c r="S87" s="35"/>
      <c r="T87" s="14">
        <v>8</v>
      </c>
      <c r="U87" s="31">
        <f t="shared" si="6"/>
        <v>843.12800000000004</v>
      </c>
      <c r="V87" s="11"/>
      <c r="W87" s="35"/>
      <c r="X87" s="34"/>
      <c r="Y87" s="35"/>
      <c r="Z87" s="34"/>
      <c r="AA87" s="35"/>
      <c r="AB87" s="14">
        <v>8</v>
      </c>
      <c r="AC87" s="31">
        <f t="shared" si="7"/>
        <v>843.12800000000004</v>
      </c>
      <c r="AD87" s="35"/>
      <c r="AE87" s="35"/>
      <c r="AF87" s="35"/>
      <c r="AG87" s="35"/>
      <c r="AH87" s="35"/>
      <c r="AI87" s="35"/>
      <c r="AJ87" s="35"/>
      <c r="AK87" s="11"/>
      <c r="AL87" s="33">
        <f t="shared" si="9"/>
        <v>1686.2560000000001</v>
      </c>
    </row>
    <row r="88" spans="1:38" ht="30.2" customHeight="1" x14ac:dyDescent="0.25">
      <c r="B88" s="14">
        <v>21106</v>
      </c>
      <c r="C88" s="39" t="s">
        <v>114</v>
      </c>
      <c r="D88" s="14">
        <v>0</v>
      </c>
      <c r="E88" s="26">
        <v>100</v>
      </c>
      <c r="F88" s="14" t="s">
        <v>41</v>
      </c>
      <c r="G88" s="27" t="s">
        <v>42</v>
      </c>
      <c r="H88" s="28" t="s">
        <v>43</v>
      </c>
      <c r="I88" s="143" t="s">
        <v>44</v>
      </c>
      <c r="J88" s="144"/>
      <c r="K88" s="36">
        <f>203.39*1.1</f>
        <v>223.72900000000001</v>
      </c>
      <c r="L88" s="29">
        <f t="shared" si="5"/>
        <v>22372.9</v>
      </c>
      <c r="M88" s="34"/>
      <c r="N88" s="35"/>
      <c r="O88" s="35"/>
      <c r="P88" s="35"/>
      <c r="Q88" s="35"/>
      <c r="R88" s="35"/>
      <c r="S88" s="35"/>
      <c r="T88" s="14">
        <v>50</v>
      </c>
      <c r="U88" s="31">
        <f t="shared" si="6"/>
        <v>11186.45</v>
      </c>
      <c r="V88" s="11"/>
      <c r="W88" s="35"/>
      <c r="X88" s="34"/>
      <c r="Y88" s="35"/>
      <c r="Z88" s="34"/>
      <c r="AA88" s="35"/>
      <c r="AB88" s="14">
        <v>50</v>
      </c>
      <c r="AC88" s="31">
        <f t="shared" si="7"/>
        <v>11186.45</v>
      </c>
      <c r="AD88" s="35"/>
      <c r="AE88" s="35"/>
      <c r="AF88" s="35"/>
      <c r="AG88" s="35"/>
      <c r="AH88" s="35"/>
      <c r="AI88" s="35"/>
      <c r="AJ88" s="35"/>
      <c r="AK88" s="11"/>
      <c r="AL88" s="33">
        <f t="shared" si="9"/>
        <v>22372.9</v>
      </c>
    </row>
    <row r="89" spans="1:38" ht="30.2" customHeight="1" x14ac:dyDescent="0.25">
      <c r="B89" s="14">
        <v>21106</v>
      </c>
      <c r="C89" s="39" t="s">
        <v>115</v>
      </c>
      <c r="D89" s="14">
        <v>0</v>
      </c>
      <c r="E89" s="26">
        <v>50</v>
      </c>
      <c r="F89" s="14" t="s">
        <v>41</v>
      </c>
      <c r="G89" s="27" t="s">
        <v>42</v>
      </c>
      <c r="H89" s="28" t="s">
        <v>43</v>
      </c>
      <c r="I89" s="143" t="s">
        <v>44</v>
      </c>
      <c r="J89" s="144"/>
      <c r="K89" s="36">
        <f>205*1.1</f>
        <v>225.50000000000003</v>
      </c>
      <c r="L89" s="29">
        <f t="shared" si="5"/>
        <v>11275.000000000002</v>
      </c>
      <c r="M89" s="34"/>
      <c r="N89" s="35"/>
      <c r="O89" s="35"/>
      <c r="P89" s="35"/>
      <c r="Q89" s="35"/>
      <c r="R89" s="35"/>
      <c r="S89" s="35"/>
      <c r="T89" s="14">
        <v>25</v>
      </c>
      <c r="U89" s="31">
        <f t="shared" si="6"/>
        <v>5637.5000000000009</v>
      </c>
      <c r="V89" s="11"/>
      <c r="W89" s="35"/>
      <c r="X89" s="34"/>
      <c r="Y89" s="35"/>
      <c r="Z89" s="34"/>
      <c r="AA89" s="35"/>
      <c r="AB89" s="14">
        <v>25</v>
      </c>
      <c r="AC89" s="31">
        <f t="shared" si="7"/>
        <v>5637.5000000000009</v>
      </c>
      <c r="AD89" s="35"/>
      <c r="AE89" s="35"/>
      <c r="AF89" s="35"/>
      <c r="AG89" s="35"/>
      <c r="AH89" s="35"/>
      <c r="AI89" s="35"/>
      <c r="AJ89" s="35"/>
      <c r="AK89" s="11"/>
      <c r="AL89" s="33">
        <f t="shared" si="9"/>
        <v>11275.000000000002</v>
      </c>
    </row>
    <row r="90" spans="1:38" ht="57.75" x14ac:dyDescent="0.25">
      <c r="B90" s="49">
        <v>21106</v>
      </c>
      <c r="C90" s="119" t="s">
        <v>116</v>
      </c>
      <c r="D90" s="49">
        <v>0</v>
      </c>
      <c r="E90" s="26">
        <v>1</v>
      </c>
      <c r="F90" s="49" t="s">
        <v>546</v>
      </c>
      <c r="G90" s="27" t="s">
        <v>89</v>
      </c>
      <c r="H90" s="28" t="s">
        <v>43</v>
      </c>
      <c r="I90" s="143" t="s">
        <v>44</v>
      </c>
      <c r="J90" s="144"/>
      <c r="K90" s="50">
        <v>6370.03</v>
      </c>
      <c r="L90" s="50">
        <f t="shared" si="5"/>
        <v>6370.03</v>
      </c>
      <c r="M90" s="51"/>
      <c r="N90" s="41"/>
      <c r="O90" s="41"/>
      <c r="P90" s="41"/>
      <c r="Q90" s="41"/>
      <c r="R90" s="41"/>
      <c r="S90" s="41"/>
      <c r="T90" s="45">
        <v>22</v>
      </c>
      <c r="U90" s="31">
        <f t="shared" si="6"/>
        <v>140140.66</v>
      </c>
      <c r="V90" s="11"/>
      <c r="W90" s="41"/>
      <c r="X90" s="43"/>
      <c r="Y90" s="41"/>
      <c r="Z90" s="43"/>
      <c r="AA90" s="41"/>
      <c r="AB90" s="45">
        <v>22</v>
      </c>
      <c r="AC90" s="31">
        <f t="shared" si="7"/>
        <v>140140.66</v>
      </c>
      <c r="AD90" s="41">
        <f t="shared" ref="AD90:AD91" si="10">E90/2</f>
        <v>0.5</v>
      </c>
      <c r="AE90" s="41">
        <f t="shared" ref="AE90:AE91" si="11">AD90*K90</f>
        <v>3185.0149999999999</v>
      </c>
      <c r="AF90" s="41"/>
      <c r="AG90" s="41"/>
      <c r="AH90" s="41"/>
      <c r="AI90" s="41"/>
      <c r="AJ90" s="41"/>
      <c r="AK90" s="41"/>
      <c r="AL90" s="33">
        <f t="shared" si="9"/>
        <v>283466.33500000002</v>
      </c>
    </row>
    <row r="91" spans="1:38" ht="57.75" x14ac:dyDescent="0.25">
      <c r="B91" s="49">
        <v>21106</v>
      </c>
      <c r="C91" s="37" t="s">
        <v>117</v>
      </c>
      <c r="D91" s="49">
        <v>0</v>
      </c>
      <c r="E91" s="26">
        <v>15</v>
      </c>
      <c r="F91" s="49" t="s">
        <v>49</v>
      </c>
      <c r="G91" s="27" t="s">
        <v>89</v>
      </c>
      <c r="H91" s="28" t="s">
        <v>43</v>
      </c>
      <c r="I91" s="143" t="s">
        <v>44</v>
      </c>
      <c r="J91" s="144"/>
      <c r="K91" s="50">
        <v>83</v>
      </c>
      <c r="L91" s="50">
        <f t="shared" si="5"/>
        <v>1245</v>
      </c>
      <c r="M91" s="51"/>
      <c r="N91" s="41"/>
      <c r="O91" s="41"/>
      <c r="P91" s="41"/>
      <c r="Q91" s="41"/>
      <c r="R91" s="41"/>
      <c r="S91" s="41"/>
      <c r="T91" s="45">
        <v>8</v>
      </c>
      <c r="U91" s="31">
        <f t="shared" si="6"/>
        <v>664</v>
      </c>
      <c r="V91" s="11"/>
      <c r="W91" s="41"/>
      <c r="X91" s="43"/>
      <c r="Y91" s="41"/>
      <c r="Z91" s="43"/>
      <c r="AA91" s="41"/>
      <c r="AB91" s="45">
        <v>8</v>
      </c>
      <c r="AC91" s="31">
        <f t="shared" si="7"/>
        <v>664</v>
      </c>
      <c r="AD91" s="41">
        <f t="shared" si="10"/>
        <v>7.5</v>
      </c>
      <c r="AE91" s="41">
        <f t="shared" si="11"/>
        <v>622.5</v>
      </c>
      <c r="AF91" s="41"/>
      <c r="AG91" s="41"/>
      <c r="AH91" s="41"/>
      <c r="AI91" s="41"/>
      <c r="AJ91" s="41"/>
      <c r="AK91" s="41"/>
      <c r="AL91" s="33">
        <f t="shared" si="9"/>
        <v>1950.5</v>
      </c>
    </row>
    <row r="92" spans="1:38" ht="37.5" customHeight="1" x14ac:dyDescent="0.25">
      <c r="A92" s="52"/>
      <c r="B92" s="26">
        <v>21106</v>
      </c>
      <c r="C92" s="39" t="s">
        <v>118</v>
      </c>
      <c r="D92" s="14">
        <v>0</v>
      </c>
      <c r="E92" s="26">
        <v>20</v>
      </c>
      <c r="F92" s="26" t="s">
        <v>41</v>
      </c>
      <c r="G92" s="27" t="s">
        <v>42</v>
      </c>
      <c r="H92" s="28" t="s">
        <v>43</v>
      </c>
      <c r="I92" s="143" t="s">
        <v>44</v>
      </c>
      <c r="J92" s="144"/>
      <c r="K92" s="38">
        <v>385</v>
      </c>
      <c r="L92" s="29">
        <f t="shared" si="5"/>
        <v>7700</v>
      </c>
      <c r="M92" s="34"/>
      <c r="N92" s="35"/>
      <c r="O92" s="35"/>
      <c r="P92" s="35"/>
      <c r="Q92" s="35"/>
      <c r="R92" s="35"/>
      <c r="S92" s="35"/>
      <c r="T92" s="53">
        <v>10</v>
      </c>
      <c r="U92" s="31">
        <f t="shared" si="6"/>
        <v>3850</v>
      </c>
      <c r="V92" s="41"/>
      <c r="W92" s="35"/>
      <c r="X92" s="34"/>
      <c r="Y92" s="35"/>
      <c r="Z92" s="34"/>
      <c r="AA92" s="35"/>
      <c r="AB92" s="53">
        <v>10</v>
      </c>
      <c r="AC92" s="31">
        <f t="shared" si="7"/>
        <v>3850</v>
      </c>
      <c r="AD92" s="35"/>
      <c r="AE92" s="35"/>
      <c r="AF92" s="35"/>
      <c r="AG92" s="35"/>
      <c r="AH92" s="35"/>
      <c r="AI92" s="35"/>
      <c r="AJ92" s="35"/>
      <c r="AK92" s="11"/>
      <c r="AL92" s="33">
        <f t="shared" si="9"/>
        <v>7700</v>
      </c>
    </row>
    <row r="93" spans="1:38" ht="37.5" customHeight="1" x14ac:dyDescent="0.25">
      <c r="B93" s="26">
        <v>21106</v>
      </c>
      <c r="C93" s="39" t="s">
        <v>119</v>
      </c>
      <c r="D93" s="14">
        <v>0</v>
      </c>
      <c r="E93" s="26">
        <v>15</v>
      </c>
      <c r="F93" s="26" t="s">
        <v>41</v>
      </c>
      <c r="G93" s="27" t="s">
        <v>42</v>
      </c>
      <c r="H93" s="28" t="s">
        <v>43</v>
      </c>
      <c r="I93" s="143" t="s">
        <v>44</v>
      </c>
      <c r="J93" s="144"/>
      <c r="K93" s="38">
        <v>385</v>
      </c>
      <c r="L93" s="29">
        <f t="shared" si="5"/>
        <v>5775</v>
      </c>
      <c r="M93" s="34"/>
      <c r="N93" s="35"/>
      <c r="O93" s="35"/>
      <c r="P93" s="35"/>
      <c r="Q93" s="35"/>
      <c r="R93" s="35"/>
      <c r="S93" s="35"/>
      <c r="T93" s="53">
        <v>8</v>
      </c>
      <c r="U93" s="31">
        <f t="shared" si="6"/>
        <v>3080</v>
      </c>
      <c r="V93" s="41"/>
      <c r="W93" s="35"/>
      <c r="X93" s="34"/>
      <c r="Y93" s="35"/>
      <c r="Z93" s="34"/>
      <c r="AA93" s="35"/>
      <c r="AB93" s="53">
        <v>8</v>
      </c>
      <c r="AC93" s="31">
        <f t="shared" si="7"/>
        <v>3080</v>
      </c>
      <c r="AD93" s="35"/>
      <c r="AE93" s="35"/>
      <c r="AF93" s="35"/>
      <c r="AG93" s="35"/>
      <c r="AH93" s="35"/>
      <c r="AI93" s="35"/>
      <c r="AJ93" s="35"/>
      <c r="AK93" s="11"/>
      <c r="AL93" s="33">
        <f t="shared" si="9"/>
        <v>6160</v>
      </c>
    </row>
    <row r="94" spans="1:38" ht="37.5" customHeight="1" x14ac:dyDescent="0.25">
      <c r="B94" s="26">
        <v>21106</v>
      </c>
      <c r="C94" s="39" t="s">
        <v>120</v>
      </c>
      <c r="D94" s="14">
        <v>0</v>
      </c>
      <c r="E94" s="26">
        <v>10</v>
      </c>
      <c r="F94" s="26" t="s">
        <v>41</v>
      </c>
      <c r="G94" s="27" t="s">
        <v>42</v>
      </c>
      <c r="H94" s="28" t="s">
        <v>43</v>
      </c>
      <c r="I94" s="143" t="s">
        <v>44</v>
      </c>
      <c r="J94" s="144"/>
      <c r="K94" s="38">
        <v>385</v>
      </c>
      <c r="L94" s="29">
        <f t="shared" si="5"/>
        <v>3850</v>
      </c>
      <c r="M94" s="34"/>
      <c r="N94" s="35"/>
      <c r="O94" s="35"/>
      <c r="P94" s="35"/>
      <c r="Q94" s="35"/>
      <c r="R94" s="35"/>
      <c r="S94" s="35"/>
      <c r="T94" s="53">
        <v>5</v>
      </c>
      <c r="U94" s="31">
        <f t="shared" si="6"/>
        <v>1925</v>
      </c>
      <c r="V94" s="41"/>
      <c r="W94" s="35"/>
      <c r="X94" s="34"/>
      <c r="Y94" s="35"/>
      <c r="Z94" s="34"/>
      <c r="AA94" s="35"/>
      <c r="AB94" s="53">
        <v>5</v>
      </c>
      <c r="AC94" s="31">
        <f t="shared" si="7"/>
        <v>1925</v>
      </c>
      <c r="AD94" s="35"/>
      <c r="AE94" s="35"/>
      <c r="AF94" s="35"/>
      <c r="AG94" s="35"/>
      <c r="AH94" s="35"/>
      <c r="AI94" s="35"/>
      <c r="AJ94" s="35"/>
      <c r="AK94" s="11"/>
      <c r="AL94" s="33">
        <f t="shared" si="9"/>
        <v>3850</v>
      </c>
    </row>
    <row r="95" spans="1:38" ht="37.5" customHeight="1" x14ac:dyDescent="0.25">
      <c r="B95" s="26">
        <v>21106</v>
      </c>
      <c r="C95" s="39" t="s">
        <v>121</v>
      </c>
      <c r="D95" s="14">
        <v>0</v>
      </c>
      <c r="E95" s="14">
        <v>10</v>
      </c>
      <c r="F95" s="26" t="s">
        <v>41</v>
      </c>
      <c r="G95" s="27" t="s">
        <v>42</v>
      </c>
      <c r="H95" s="28" t="s">
        <v>43</v>
      </c>
      <c r="I95" s="143" t="s">
        <v>44</v>
      </c>
      <c r="J95" s="144"/>
      <c r="K95" s="38">
        <v>385</v>
      </c>
      <c r="L95" s="29">
        <f t="shared" si="5"/>
        <v>3850</v>
      </c>
      <c r="M95" s="34"/>
      <c r="N95" s="35"/>
      <c r="O95" s="35"/>
      <c r="P95" s="35"/>
      <c r="Q95" s="35"/>
      <c r="R95" s="35"/>
      <c r="S95" s="35"/>
      <c r="T95" s="53">
        <v>5</v>
      </c>
      <c r="U95" s="31">
        <f t="shared" si="6"/>
        <v>1925</v>
      </c>
      <c r="V95" s="41"/>
      <c r="W95" s="35"/>
      <c r="X95" s="34"/>
      <c r="Y95" s="35"/>
      <c r="Z95" s="34"/>
      <c r="AA95" s="35"/>
      <c r="AB95" s="53">
        <v>5</v>
      </c>
      <c r="AC95" s="31">
        <f t="shared" si="7"/>
        <v>1925</v>
      </c>
      <c r="AD95" s="35"/>
      <c r="AE95" s="35"/>
      <c r="AF95" s="35"/>
      <c r="AG95" s="35"/>
      <c r="AH95" s="35"/>
      <c r="AI95" s="35"/>
      <c r="AJ95" s="35"/>
      <c r="AK95" s="11"/>
      <c r="AL95" s="33">
        <f t="shared" si="9"/>
        <v>3850</v>
      </c>
    </row>
    <row r="96" spans="1:38" ht="37.5" customHeight="1" x14ac:dyDescent="0.25">
      <c r="B96" s="26">
        <v>21106</v>
      </c>
      <c r="C96" s="39" t="s">
        <v>122</v>
      </c>
      <c r="D96" s="14">
        <v>0</v>
      </c>
      <c r="E96" s="14">
        <v>10</v>
      </c>
      <c r="F96" s="26" t="s">
        <v>41</v>
      </c>
      <c r="G96" s="27" t="s">
        <v>42</v>
      </c>
      <c r="H96" s="28" t="s">
        <v>43</v>
      </c>
      <c r="I96" s="143" t="s">
        <v>44</v>
      </c>
      <c r="J96" s="144"/>
      <c r="K96" s="38">
        <v>385</v>
      </c>
      <c r="L96" s="29">
        <f t="shared" si="5"/>
        <v>3850</v>
      </c>
      <c r="M96" s="34"/>
      <c r="N96" s="35"/>
      <c r="O96" s="35"/>
      <c r="P96" s="35"/>
      <c r="Q96" s="35"/>
      <c r="R96" s="35"/>
      <c r="S96" s="35"/>
      <c r="T96" s="53">
        <v>5</v>
      </c>
      <c r="U96" s="31">
        <f t="shared" si="6"/>
        <v>1925</v>
      </c>
      <c r="V96" s="41"/>
      <c r="W96" s="35"/>
      <c r="X96" s="34"/>
      <c r="Y96" s="35"/>
      <c r="Z96" s="34"/>
      <c r="AA96" s="35"/>
      <c r="AB96" s="53">
        <v>5</v>
      </c>
      <c r="AC96" s="31">
        <f t="shared" si="7"/>
        <v>1925</v>
      </c>
      <c r="AD96" s="35"/>
      <c r="AE96" s="35"/>
      <c r="AF96" s="35"/>
      <c r="AG96" s="35"/>
      <c r="AH96" s="35"/>
      <c r="AI96" s="35"/>
      <c r="AJ96" s="35"/>
      <c r="AK96" s="11"/>
      <c r="AL96" s="33">
        <f t="shared" si="9"/>
        <v>3850</v>
      </c>
    </row>
    <row r="97" spans="2:40" ht="37.5" customHeight="1" x14ac:dyDescent="0.25">
      <c r="B97" s="26">
        <v>21106</v>
      </c>
      <c r="C97" s="46" t="s">
        <v>123</v>
      </c>
      <c r="D97" s="11">
        <v>0</v>
      </c>
      <c r="E97" s="12">
        <v>10</v>
      </c>
      <c r="F97" s="26" t="s">
        <v>41</v>
      </c>
      <c r="G97" s="27" t="s">
        <v>42</v>
      </c>
      <c r="H97" s="28" t="s">
        <v>43</v>
      </c>
      <c r="I97" s="143" t="s">
        <v>44</v>
      </c>
      <c r="J97" s="144"/>
      <c r="K97" s="38">
        <v>385</v>
      </c>
      <c r="L97" s="29">
        <f t="shared" si="5"/>
        <v>3850</v>
      </c>
      <c r="M97" s="34"/>
      <c r="N97" s="35"/>
      <c r="O97" s="35"/>
      <c r="P97" s="35"/>
      <c r="Q97" s="35"/>
      <c r="R97" s="35"/>
      <c r="S97" s="35"/>
      <c r="T97" s="53">
        <v>5</v>
      </c>
      <c r="U97" s="31">
        <f t="shared" si="6"/>
        <v>1925</v>
      </c>
      <c r="V97" s="41"/>
      <c r="W97" s="35"/>
      <c r="X97" s="34"/>
      <c r="Y97" s="35"/>
      <c r="Z97" s="34"/>
      <c r="AA97" s="35"/>
      <c r="AB97" s="53">
        <v>5</v>
      </c>
      <c r="AC97" s="31">
        <f t="shared" si="7"/>
        <v>1925</v>
      </c>
      <c r="AD97" s="35"/>
      <c r="AE97" s="35"/>
      <c r="AF97" s="35"/>
      <c r="AG97" s="35"/>
      <c r="AH97" s="35"/>
      <c r="AI97" s="35"/>
      <c r="AJ97" s="35"/>
      <c r="AK97" s="11"/>
      <c r="AL97" s="33">
        <f t="shared" si="9"/>
        <v>3850</v>
      </c>
    </row>
    <row r="98" spans="2:40" x14ac:dyDescent="0.25">
      <c r="B98" s="54">
        <v>21107</v>
      </c>
      <c r="C98" s="54"/>
      <c r="D98" s="54"/>
      <c r="E98" s="54"/>
      <c r="F98" s="54"/>
      <c r="G98" s="55"/>
      <c r="H98" s="56"/>
      <c r="I98" s="149"/>
      <c r="J98" s="150"/>
      <c r="K98" s="57"/>
      <c r="L98" s="22">
        <f>SUM(L99:L101)</f>
        <v>4169</v>
      </c>
      <c r="M98" s="44">
        <v>5003</v>
      </c>
      <c r="N98" s="11"/>
      <c r="O98" s="24"/>
      <c r="P98" s="41"/>
      <c r="Q98" s="41"/>
      <c r="R98" s="41"/>
      <c r="S98" s="41"/>
      <c r="T98" s="45"/>
      <c r="U98" s="31"/>
      <c r="V98" s="41"/>
      <c r="W98" s="41"/>
      <c r="X98" s="43"/>
      <c r="Y98" s="41"/>
      <c r="Z98" s="43"/>
      <c r="AA98" s="41"/>
      <c r="AB98" s="43"/>
      <c r="AC98" s="31"/>
      <c r="AD98" s="41"/>
      <c r="AE98" s="41"/>
      <c r="AF98" s="41"/>
      <c r="AG98" s="41"/>
      <c r="AH98" s="41"/>
      <c r="AI98" s="41"/>
      <c r="AJ98" s="41"/>
      <c r="AK98" s="41"/>
      <c r="AL98" s="33"/>
    </row>
    <row r="99" spans="2:40" ht="30.2" customHeight="1" x14ac:dyDescent="0.25">
      <c r="B99" s="14">
        <v>21107</v>
      </c>
      <c r="C99" s="61" t="s">
        <v>124</v>
      </c>
      <c r="D99" s="14">
        <v>0</v>
      </c>
      <c r="E99" s="49">
        <v>1</v>
      </c>
      <c r="F99" s="14" t="s">
        <v>546</v>
      </c>
      <c r="G99" s="27" t="s">
        <v>42</v>
      </c>
      <c r="H99" s="28" t="s">
        <v>43</v>
      </c>
      <c r="I99" s="143" t="s">
        <v>44</v>
      </c>
      <c r="J99" s="144"/>
      <c r="K99" s="36">
        <v>2233</v>
      </c>
      <c r="L99" s="29">
        <f>E99*K99</f>
        <v>2233</v>
      </c>
      <c r="M99" s="34"/>
      <c r="N99" s="35"/>
      <c r="O99" s="35"/>
      <c r="P99" s="35"/>
      <c r="Q99" s="35"/>
      <c r="R99" s="35"/>
      <c r="S99" s="35"/>
      <c r="T99" s="14">
        <v>3</v>
      </c>
      <c r="U99" s="31">
        <f t="shared" si="6"/>
        <v>6699</v>
      </c>
      <c r="V99" s="31"/>
      <c r="W99" s="35"/>
      <c r="X99" s="34"/>
      <c r="Y99" s="35"/>
      <c r="Z99" s="34"/>
      <c r="AA99" s="35"/>
      <c r="AB99" s="34">
        <v>3</v>
      </c>
      <c r="AC99" s="31">
        <f t="shared" si="7"/>
        <v>6699</v>
      </c>
      <c r="AD99" s="35"/>
      <c r="AE99" s="35"/>
      <c r="AF99" s="35"/>
      <c r="AG99" s="35"/>
      <c r="AH99" s="35"/>
      <c r="AI99" s="35"/>
      <c r="AJ99" s="35"/>
      <c r="AK99" s="11"/>
      <c r="AL99" s="33">
        <f t="shared" si="9"/>
        <v>13398</v>
      </c>
    </row>
    <row r="100" spans="2:40" ht="30.2" customHeight="1" x14ac:dyDescent="0.25">
      <c r="B100" s="14">
        <v>21107</v>
      </c>
      <c r="C100" s="25" t="s">
        <v>125</v>
      </c>
      <c r="D100" s="14">
        <v>0</v>
      </c>
      <c r="E100" s="49">
        <v>29</v>
      </c>
      <c r="F100" s="14" t="s">
        <v>49</v>
      </c>
      <c r="G100" s="27" t="s">
        <v>42</v>
      </c>
      <c r="H100" s="28" t="s">
        <v>43</v>
      </c>
      <c r="I100" s="143" t="s">
        <v>44</v>
      </c>
      <c r="J100" s="144"/>
      <c r="K100" s="36">
        <f>40*1.1</f>
        <v>44</v>
      </c>
      <c r="L100" s="29">
        <f>E100*K100</f>
        <v>1276</v>
      </c>
      <c r="M100" s="34"/>
      <c r="N100" s="35"/>
      <c r="O100" s="35"/>
      <c r="P100" s="35"/>
      <c r="Q100" s="35"/>
      <c r="R100" s="35"/>
      <c r="S100" s="35"/>
      <c r="T100" s="14">
        <v>5</v>
      </c>
      <c r="U100" s="31">
        <f t="shared" si="6"/>
        <v>220</v>
      </c>
      <c r="V100" s="31"/>
      <c r="W100" s="35"/>
      <c r="X100" s="34"/>
      <c r="Y100" s="35"/>
      <c r="Z100" s="34"/>
      <c r="AA100" s="35"/>
      <c r="AB100" s="34">
        <v>5</v>
      </c>
      <c r="AC100" s="31">
        <f t="shared" si="7"/>
        <v>220</v>
      </c>
      <c r="AD100" s="35"/>
      <c r="AE100" s="35"/>
      <c r="AF100" s="35"/>
      <c r="AG100" s="35"/>
      <c r="AH100" s="35"/>
      <c r="AI100" s="35"/>
      <c r="AJ100" s="35"/>
      <c r="AK100" s="11"/>
      <c r="AL100" s="33">
        <f t="shared" si="9"/>
        <v>440</v>
      </c>
    </row>
    <row r="101" spans="2:40" ht="30.2" customHeight="1" x14ac:dyDescent="0.25">
      <c r="B101" s="14">
        <v>21107</v>
      </c>
      <c r="C101" s="25" t="s">
        <v>126</v>
      </c>
      <c r="D101" s="14">
        <v>0</v>
      </c>
      <c r="E101" s="49">
        <v>15</v>
      </c>
      <c r="F101" s="14" t="s">
        <v>49</v>
      </c>
      <c r="G101" s="27" t="s">
        <v>42</v>
      </c>
      <c r="H101" s="28" t="s">
        <v>43</v>
      </c>
      <c r="I101" s="143" t="s">
        <v>44</v>
      </c>
      <c r="J101" s="144"/>
      <c r="K101" s="36">
        <f>40*1.1</f>
        <v>44</v>
      </c>
      <c r="L101" s="29">
        <f>E101*K101</f>
        <v>660</v>
      </c>
      <c r="M101" s="34"/>
      <c r="N101" s="35"/>
      <c r="O101" s="35"/>
      <c r="P101" s="35"/>
      <c r="Q101" s="35"/>
      <c r="R101" s="35"/>
      <c r="S101" s="35"/>
      <c r="T101" s="14">
        <v>7</v>
      </c>
      <c r="U101" s="31">
        <f t="shared" si="6"/>
        <v>308</v>
      </c>
      <c r="V101" s="31"/>
      <c r="W101" s="35"/>
      <c r="X101" s="34"/>
      <c r="Y101" s="35"/>
      <c r="Z101" s="34"/>
      <c r="AA101" s="35"/>
      <c r="AB101" s="34">
        <v>6</v>
      </c>
      <c r="AC101" s="31">
        <f t="shared" si="7"/>
        <v>264</v>
      </c>
      <c r="AD101" s="35"/>
      <c r="AE101" s="35"/>
      <c r="AF101" s="35"/>
      <c r="AG101" s="35"/>
      <c r="AH101" s="35"/>
      <c r="AI101" s="35"/>
      <c r="AJ101" s="35"/>
      <c r="AK101" s="11"/>
      <c r="AL101" s="33">
        <f t="shared" si="9"/>
        <v>572</v>
      </c>
    </row>
    <row r="102" spans="2:40" ht="30.2" customHeight="1" x14ac:dyDescent="0.25">
      <c r="B102" s="54">
        <v>21200</v>
      </c>
      <c r="C102" s="116"/>
      <c r="D102" s="54"/>
      <c r="E102" s="54"/>
      <c r="F102" s="54"/>
      <c r="G102" s="55"/>
      <c r="H102" s="56"/>
      <c r="I102" s="104"/>
      <c r="J102" s="105"/>
      <c r="K102" s="117"/>
      <c r="L102" s="118">
        <f>+L103+L104+L105</f>
        <v>203</v>
      </c>
      <c r="M102" s="109"/>
      <c r="N102" s="35"/>
      <c r="O102" s="35"/>
      <c r="P102" s="35"/>
      <c r="Q102" s="35"/>
      <c r="R102" s="35"/>
      <c r="S102" s="35"/>
      <c r="T102" s="14"/>
      <c r="U102" s="31"/>
      <c r="V102" s="31"/>
      <c r="W102" s="35"/>
      <c r="X102" s="34"/>
      <c r="Y102" s="35"/>
      <c r="Z102" s="34"/>
      <c r="AA102" s="35"/>
      <c r="AB102" s="34"/>
      <c r="AC102" s="31"/>
      <c r="AD102" s="35"/>
      <c r="AE102" s="35"/>
      <c r="AF102" s="35"/>
      <c r="AG102" s="35"/>
      <c r="AH102" s="35"/>
      <c r="AI102" s="35"/>
      <c r="AJ102" s="35"/>
      <c r="AK102" s="11"/>
      <c r="AL102" s="33"/>
    </row>
    <row r="103" spans="2:40" s="83" customFormat="1" ht="30.2" customHeight="1" x14ac:dyDescent="0.25">
      <c r="B103" s="26">
        <v>21201</v>
      </c>
      <c r="C103" s="61" t="s">
        <v>490</v>
      </c>
      <c r="D103" s="26"/>
      <c r="E103" s="26">
        <v>1</v>
      </c>
      <c r="F103" s="14" t="s">
        <v>49</v>
      </c>
      <c r="G103" s="27" t="s">
        <v>42</v>
      </c>
      <c r="H103" s="28" t="s">
        <v>43</v>
      </c>
      <c r="I103" s="143" t="s">
        <v>44</v>
      </c>
      <c r="J103" s="144"/>
      <c r="K103" s="38">
        <v>1</v>
      </c>
      <c r="L103" s="29">
        <f>+E103*K103</f>
        <v>1</v>
      </c>
      <c r="M103" s="110"/>
      <c r="N103" s="111"/>
      <c r="O103" s="111"/>
      <c r="P103" s="111"/>
      <c r="Q103" s="111"/>
      <c r="R103" s="111"/>
      <c r="S103" s="111"/>
      <c r="T103" s="26"/>
      <c r="U103" s="112"/>
      <c r="V103" s="112"/>
      <c r="W103" s="111"/>
      <c r="X103" s="113"/>
      <c r="Y103" s="111"/>
      <c r="Z103" s="113"/>
      <c r="AA103" s="111"/>
      <c r="AB103" s="113"/>
      <c r="AC103" s="112"/>
      <c r="AD103" s="111"/>
      <c r="AE103" s="111"/>
      <c r="AF103" s="111"/>
      <c r="AG103" s="111"/>
      <c r="AH103" s="111"/>
      <c r="AI103" s="111"/>
      <c r="AJ103" s="111"/>
      <c r="AK103" s="114"/>
      <c r="AL103" s="115"/>
      <c r="AM103" s="108"/>
      <c r="AN103" s="108"/>
    </row>
    <row r="104" spans="2:40" s="83" customFormat="1" ht="30.2" customHeight="1" x14ac:dyDescent="0.25">
      <c r="B104" s="26">
        <v>21202</v>
      </c>
      <c r="C104" s="61" t="s">
        <v>491</v>
      </c>
      <c r="D104" s="26"/>
      <c r="E104" s="26">
        <v>1</v>
      </c>
      <c r="F104" s="14" t="s">
        <v>49</v>
      </c>
      <c r="G104" s="27" t="s">
        <v>42</v>
      </c>
      <c r="H104" s="28" t="s">
        <v>43</v>
      </c>
      <c r="I104" s="143" t="s">
        <v>44</v>
      </c>
      <c r="J104" s="144"/>
      <c r="K104" s="38">
        <v>201</v>
      </c>
      <c r="L104" s="29">
        <f>+E104*K104</f>
        <v>201</v>
      </c>
      <c r="M104" s="110"/>
      <c r="N104" s="111"/>
      <c r="O104" s="111"/>
      <c r="P104" s="111"/>
      <c r="Q104" s="111"/>
      <c r="R104" s="111"/>
      <c r="S104" s="111"/>
      <c r="T104" s="26"/>
      <c r="U104" s="112"/>
      <c r="V104" s="112"/>
      <c r="W104" s="111"/>
      <c r="X104" s="113"/>
      <c r="Y104" s="111"/>
      <c r="Z104" s="113"/>
      <c r="AA104" s="111"/>
      <c r="AB104" s="113"/>
      <c r="AC104" s="112"/>
      <c r="AD104" s="111"/>
      <c r="AE104" s="111"/>
      <c r="AF104" s="111"/>
      <c r="AG104" s="111"/>
      <c r="AH104" s="111"/>
      <c r="AI104" s="111"/>
      <c r="AJ104" s="111"/>
      <c r="AK104" s="114"/>
      <c r="AL104" s="115"/>
      <c r="AM104" s="108"/>
      <c r="AN104" s="108"/>
    </row>
    <row r="105" spans="2:40" s="83" customFormat="1" ht="30.2" customHeight="1" x14ac:dyDescent="0.25">
      <c r="B105" s="26">
        <v>21204</v>
      </c>
      <c r="C105" s="61" t="s">
        <v>492</v>
      </c>
      <c r="D105" s="26"/>
      <c r="E105" s="26">
        <v>1</v>
      </c>
      <c r="F105" s="14" t="s">
        <v>49</v>
      </c>
      <c r="G105" s="27" t="s">
        <v>42</v>
      </c>
      <c r="H105" s="28" t="s">
        <v>43</v>
      </c>
      <c r="I105" s="143" t="s">
        <v>44</v>
      </c>
      <c r="J105" s="144"/>
      <c r="K105" s="38">
        <v>1</v>
      </c>
      <c r="L105" s="29">
        <f>+E105*K105</f>
        <v>1</v>
      </c>
      <c r="M105" s="110"/>
      <c r="N105" s="111"/>
      <c r="O105" s="111"/>
      <c r="P105" s="111"/>
      <c r="Q105" s="111"/>
      <c r="R105" s="111"/>
      <c r="S105" s="111"/>
      <c r="T105" s="26"/>
      <c r="U105" s="112"/>
      <c r="V105" s="112"/>
      <c r="W105" s="111"/>
      <c r="X105" s="113"/>
      <c r="Y105" s="111"/>
      <c r="Z105" s="113"/>
      <c r="AA105" s="111"/>
      <c r="AB105" s="113"/>
      <c r="AC105" s="112"/>
      <c r="AD105" s="111"/>
      <c r="AE105" s="111"/>
      <c r="AF105" s="111"/>
      <c r="AG105" s="111"/>
      <c r="AH105" s="111"/>
      <c r="AI105" s="111"/>
      <c r="AJ105" s="111"/>
      <c r="AK105" s="114"/>
      <c r="AL105" s="115"/>
      <c r="AM105" s="108"/>
      <c r="AN105" s="108"/>
    </row>
    <row r="106" spans="2:40" x14ac:dyDescent="0.25">
      <c r="B106" s="19">
        <v>21400</v>
      </c>
      <c r="C106" s="19"/>
      <c r="D106" s="19"/>
      <c r="E106" s="19"/>
      <c r="F106" s="19"/>
      <c r="G106" s="58"/>
      <c r="H106" s="59"/>
      <c r="I106" s="145"/>
      <c r="J106" s="146"/>
      <c r="K106" s="20"/>
      <c r="L106" s="21">
        <f>L107</f>
        <v>298409.37283999991</v>
      </c>
      <c r="M106" s="60">
        <f>M107</f>
        <v>180000</v>
      </c>
      <c r="N106" s="41"/>
      <c r="O106" s="41"/>
      <c r="P106" s="41"/>
      <c r="Q106" s="41"/>
      <c r="R106" s="41"/>
      <c r="S106" s="41"/>
      <c r="T106" s="45"/>
      <c r="U106" s="31"/>
      <c r="V106" s="41"/>
      <c r="W106" s="41"/>
      <c r="X106" s="43"/>
      <c r="Y106" s="41"/>
      <c r="Z106" s="43"/>
      <c r="AA106" s="41"/>
      <c r="AB106" s="43"/>
      <c r="AC106" s="41"/>
      <c r="AD106" s="41"/>
      <c r="AE106" s="41"/>
      <c r="AF106" s="41"/>
      <c r="AG106" s="41"/>
      <c r="AH106" s="41"/>
      <c r="AI106" s="41"/>
      <c r="AJ106" s="41"/>
      <c r="AK106" s="41"/>
      <c r="AL106" s="33"/>
    </row>
    <row r="107" spans="2:40" x14ac:dyDescent="0.25">
      <c r="B107" s="19">
        <v>21401</v>
      </c>
      <c r="C107" s="19"/>
      <c r="D107" s="19"/>
      <c r="E107" s="19"/>
      <c r="F107" s="19"/>
      <c r="G107" s="58"/>
      <c r="H107" s="59"/>
      <c r="I107" s="145"/>
      <c r="J107" s="146"/>
      <c r="K107" s="20"/>
      <c r="L107" s="22">
        <f>SUM(L108:L139)</f>
        <v>298409.37283999991</v>
      </c>
      <c r="M107" s="44">
        <v>180000</v>
      </c>
      <c r="N107" s="11"/>
      <c r="O107" s="24"/>
      <c r="P107" s="41"/>
      <c r="Q107" s="41"/>
      <c r="R107" s="41"/>
      <c r="S107" s="41"/>
      <c r="T107" s="45"/>
      <c r="U107" s="31"/>
      <c r="V107" s="41"/>
      <c r="W107" s="41"/>
      <c r="X107" s="43"/>
      <c r="Y107" s="41"/>
      <c r="Z107" s="43"/>
      <c r="AA107" s="41"/>
      <c r="AB107" s="43"/>
      <c r="AC107" s="41"/>
      <c r="AD107" s="41"/>
      <c r="AE107" s="41"/>
      <c r="AF107" s="41"/>
      <c r="AG107" s="41"/>
      <c r="AH107" s="41"/>
      <c r="AI107" s="41"/>
      <c r="AJ107" s="41"/>
      <c r="AK107" s="41"/>
      <c r="AL107" s="33"/>
    </row>
    <row r="108" spans="2:40" ht="30.2" customHeight="1" x14ac:dyDescent="0.25">
      <c r="B108" s="14">
        <v>21401</v>
      </c>
      <c r="C108" s="25" t="s">
        <v>127</v>
      </c>
      <c r="D108" s="14">
        <v>0</v>
      </c>
      <c r="E108" s="49">
        <v>429</v>
      </c>
      <c r="F108" s="14" t="s">
        <v>49</v>
      </c>
      <c r="G108" s="27" t="s">
        <v>42</v>
      </c>
      <c r="H108" s="28" t="s">
        <v>43</v>
      </c>
      <c r="I108" s="143" t="s">
        <v>44</v>
      </c>
      <c r="J108" s="144"/>
      <c r="K108" s="36">
        <f>7.2*1.1</f>
        <v>7.9200000000000008</v>
      </c>
      <c r="L108" s="29">
        <f t="shared" ref="L108:L142" si="12">E108*K108</f>
        <v>3397.6800000000003</v>
      </c>
      <c r="M108" s="34"/>
      <c r="N108" s="35"/>
      <c r="O108" s="35"/>
      <c r="P108" s="35"/>
      <c r="Q108" s="35"/>
      <c r="R108" s="35"/>
      <c r="S108" s="35"/>
      <c r="T108" s="14">
        <v>200</v>
      </c>
      <c r="U108" s="31">
        <f t="shared" si="6"/>
        <v>1584.0000000000002</v>
      </c>
      <c r="V108" s="31"/>
      <c r="W108" s="35"/>
      <c r="X108" s="34"/>
      <c r="Y108" s="35"/>
      <c r="Z108" s="34"/>
      <c r="AA108" s="35"/>
      <c r="AB108" s="34">
        <v>100</v>
      </c>
      <c r="AC108" s="31">
        <f t="shared" ref="AC108:AC139" si="13">AB108*K108</f>
        <v>792.00000000000011</v>
      </c>
      <c r="AD108" s="35"/>
      <c r="AE108" s="35"/>
      <c r="AF108" s="35"/>
      <c r="AG108" s="35"/>
      <c r="AH108" s="35"/>
      <c r="AI108" s="35"/>
      <c r="AJ108" s="35"/>
      <c r="AK108" s="11"/>
      <c r="AL108" s="33">
        <f t="shared" si="9"/>
        <v>2376.0000000000005</v>
      </c>
    </row>
    <row r="109" spans="2:40" ht="30.2" customHeight="1" x14ac:dyDescent="0.25">
      <c r="B109" s="14">
        <v>21401</v>
      </c>
      <c r="C109" s="25" t="s">
        <v>128</v>
      </c>
      <c r="D109" s="14">
        <v>0</v>
      </c>
      <c r="E109" s="49">
        <v>850</v>
      </c>
      <c r="F109" s="14" t="s">
        <v>49</v>
      </c>
      <c r="G109" s="27" t="s">
        <v>42</v>
      </c>
      <c r="H109" s="28" t="s">
        <v>43</v>
      </c>
      <c r="I109" s="143" t="s">
        <v>44</v>
      </c>
      <c r="J109" s="144"/>
      <c r="K109" s="36">
        <f>5.6*1.1</f>
        <v>6.16</v>
      </c>
      <c r="L109" s="29">
        <f t="shared" si="12"/>
        <v>5236</v>
      </c>
      <c r="M109" s="34"/>
      <c r="N109" s="35"/>
      <c r="O109" s="35"/>
      <c r="P109" s="35"/>
      <c r="Q109" s="35"/>
      <c r="R109" s="35"/>
      <c r="S109" s="35"/>
      <c r="T109" s="14">
        <v>425</v>
      </c>
      <c r="U109" s="31">
        <f t="shared" si="6"/>
        <v>2618</v>
      </c>
      <c r="V109" s="31"/>
      <c r="W109" s="35"/>
      <c r="X109" s="34"/>
      <c r="Y109" s="35"/>
      <c r="Z109" s="34"/>
      <c r="AA109" s="35"/>
      <c r="AB109" s="34">
        <v>425</v>
      </c>
      <c r="AC109" s="31">
        <f t="shared" si="13"/>
        <v>2618</v>
      </c>
      <c r="AD109" s="35"/>
      <c r="AE109" s="35"/>
      <c r="AF109" s="35"/>
      <c r="AG109" s="35"/>
      <c r="AH109" s="35"/>
      <c r="AI109" s="35"/>
      <c r="AJ109" s="35"/>
      <c r="AK109" s="11"/>
      <c r="AL109" s="33">
        <f t="shared" si="9"/>
        <v>5236</v>
      </c>
    </row>
    <row r="110" spans="2:40" ht="30.2" customHeight="1" x14ac:dyDescent="0.25">
      <c r="B110" s="26">
        <v>21401</v>
      </c>
      <c r="C110" s="61" t="s">
        <v>129</v>
      </c>
      <c r="D110" s="26">
        <v>0</v>
      </c>
      <c r="E110" s="49">
        <v>6</v>
      </c>
      <c r="F110" s="26" t="s">
        <v>49</v>
      </c>
      <c r="G110" s="62" t="s">
        <v>42</v>
      </c>
      <c r="H110" s="28" t="s">
        <v>43</v>
      </c>
      <c r="I110" s="151" t="s">
        <v>44</v>
      </c>
      <c r="J110" s="152"/>
      <c r="K110" s="38">
        <v>1900</v>
      </c>
      <c r="L110" s="29">
        <f t="shared" si="12"/>
        <v>11400</v>
      </c>
      <c r="M110" s="34"/>
      <c r="N110" s="35"/>
      <c r="O110" s="35"/>
      <c r="P110" s="35"/>
      <c r="Q110" s="35"/>
      <c r="R110" s="35"/>
      <c r="S110" s="35"/>
      <c r="T110" s="14">
        <v>5</v>
      </c>
      <c r="U110" s="31">
        <f t="shared" si="6"/>
        <v>9500</v>
      </c>
      <c r="V110" s="31"/>
      <c r="W110" s="35"/>
      <c r="X110" s="34"/>
      <c r="Y110" s="35"/>
      <c r="Z110" s="34"/>
      <c r="AA110" s="35"/>
      <c r="AB110" s="34">
        <v>4</v>
      </c>
      <c r="AC110" s="31">
        <f t="shared" si="13"/>
        <v>7600</v>
      </c>
      <c r="AD110" s="35"/>
      <c r="AE110" s="35"/>
      <c r="AF110" s="35"/>
      <c r="AG110" s="35"/>
      <c r="AH110" s="35"/>
      <c r="AI110" s="35"/>
      <c r="AJ110" s="35"/>
      <c r="AK110" s="11"/>
      <c r="AL110" s="33">
        <f t="shared" si="9"/>
        <v>17100</v>
      </c>
    </row>
    <row r="111" spans="2:40" ht="30.2" customHeight="1" x14ac:dyDescent="0.25">
      <c r="B111" s="26">
        <v>21401</v>
      </c>
      <c r="C111" s="61" t="s">
        <v>130</v>
      </c>
      <c r="D111" s="26">
        <v>0</v>
      </c>
      <c r="E111" s="49">
        <v>2</v>
      </c>
      <c r="F111" s="26" t="s">
        <v>49</v>
      </c>
      <c r="G111" s="62" t="s">
        <v>42</v>
      </c>
      <c r="H111" s="28" t="s">
        <v>43</v>
      </c>
      <c r="I111" s="151" t="s">
        <v>44</v>
      </c>
      <c r="J111" s="152"/>
      <c r="K111" s="38">
        <v>2190</v>
      </c>
      <c r="L111" s="29">
        <f t="shared" si="12"/>
        <v>4380</v>
      </c>
      <c r="M111" s="34"/>
      <c r="N111" s="35"/>
      <c r="O111" s="35"/>
      <c r="P111" s="35"/>
      <c r="Q111" s="35"/>
      <c r="R111" s="35"/>
      <c r="S111" s="35"/>
      <c r="T111" s="14">
        <v>2</v>
      </c>
      <c r="U111" s="31">
        <f t="shared" si="6"/>
        <v>4380</v>
      </c>
      <c r="V111" s="31"/>
      <c r="W111" s="35"/>
      <c r="X111" s="34"/>
      <c r="Y111" s="35"/>
      <c r="Z111" s="34"/>
      <c r="AA111" s="35"/>
      <c r="AB111" s="34">
        <v>1</v>
      </c>
      <c r="AC111" s="31">
        <f t="shared" si="13"/>
        <v>2190</v>
      </c>
      <c r="AD111" s="35"/>
      <c r="AE111" s="35"/>
      <c r="AF111" s="35"/>
      <c r="AG111" s="35"/>
      <c r="AH111" s="35"/>
      <c r="AI111" s="35"/>
      <c r="AJ111" s="35"/>
      <c r="AK111" s="11"/>
      <c r="AL111" s="33">
        <f t="shared" si="9"/>
        <v>6570</v>
      </c>
    </row>
    <row r="112" spans="2:40" ht="30.2" customHeight="1" x14ac:dyDescent="0.25">
      <c r="B112" s="26">
        <v>21401</v>
      </c>
      <c r="C112" s="61" t="s">
        <v>131</v>
      </c>
      <c r="D112" s="26">
        <v>0</v>
      </c>
      <c r="E112" s="49">
        <v>2</v>
      </c>
      <c r="F112" s="26" t="s">
        <v>49</v>
      </c>
      <c r="G112" s="62" t="s">
        <v>42</v>
      </c>
      <c r="H112" s="28" t="s">
        <v>43</v>
      </c>
      <c r="I112" s="151" t="s">
        <v>44</v>
      </c>
      <c r="J112" s="152"/>
      <c r="K112" s="38">
        <v>2190</v>
      </c>
      <c r="L112" s="29">
        <f t="shared" si="12"/>
        <v>4380</v>
      </c>
      <c r="M112" s="34"/>
      <c r="N112" s="35"/>
      <c r="O112" s="35"/>
      <c r="P112" s="35"/>
      <c r="Q112" s="35"/>
      <c r="R112" s="35"/>
      <c r="S112" s="35"/>
      <c r="T112" s="14">
        <v>2</v>
      </c>
      <c r="U112" s="31">
        <f t="shared" si="6"/>
        <v>4380</v>
      </c>
      <c r="V112" s="31"/>
      <c r="W112" s="35"/>
      <c r="X112" s="34"/>
      <c r="Y112" s="35"/>
      <c r="Z112" s="34"/>
      <c r="AA112" s="35"/>
      <c r="AB112" s="34">
        <v>1</v>
      </c>
      <c r="AC112" s="31">
        <f t="shared" si="13"/>
        <v>2190</v>
      </c>
      <c r="AD112" s="35"/>
      <c r="AE112" s="35"/>
      <c r="AF112" s="35"/>
      <c r="AG112" s="35"/>
      <c r="AH112" s="35"/>
      <c r="AI112" s="35"/>
      <c r="AJ112" s="35"/>
      <c r="AK112" s="11"/>
      <c r="AL112" s="33">
        <f t="shared" si="9"/>
        <v>6570</v>
      </c>
    </row>
    <row r="113" spans="2:38" ht="30.2" customHeight="1" x14ac:dyDescent="0.25">
      <c r="B113" s="26">
        <v>21401</v>
      </c>
      <c r="C113" s="61" t="s">
        <v>132</v>
      </c>
      <c r="D113" s="26">
        <v>0</v>
      </c>
      <c r="E113" s="49">
        <v>2</v>
      </c>
      <c r="F113" s="26" t="s">
        <v>49</v>
      </c>
      <c r="G113" s="62" t="s">
        <v>42</v>
      </c>
      <c r="H113" s="28" t="s">
        <v>43</v>
      </c>
      <c r="I113" s="151" t="s">
        <v>44</v>
      </c>
      <c r="J113" s="152"/>
      <c r="K113" s="38">
        <v>2190</v>
      </c>
      <c r="L113" s="29">
        <f t="shared" si="12"/>
        <v>4380</v>
      </c>
      <c r="M113" s="34"/>
      <c r="N113" s="35"/>
      <c r="O113" s="35"/>
      <c r="P113" s="35"/>
      <c r="Q113" s="35"/>
      <c r="R113" s="35"/>
      <c r="S113" s="35"/>
      <c r="T113" s="14">
        <v>2</v>
      </c>
      <c r="U113" s="31">
        <f t="shared" si="6"/>
        <v>4380</v>
      </c>
      <c r="V113" s="31"/>
      <c r="W113" s="35"/>
      <c r="X113" s="34"/>
      <c r="Y113" s="35"/>
      <c r="Z113" s="34"/>
      <c r="AA113" s="35"/>
      <c r="AB113" s="34">
        <v>1</v>
      </c>
      <c r="AC113" s="31">
        <f t="shared" si="13"/>
        <v>2190</v>
      </c>
      <c r="AD113" s="35"/>
      <c r="AE113" s="35"/>
      <c r="AF113" s="35"/>
      <c r="AG113" s="35"/>
      <c r="AH113" s="35"/>
      <c r="AI113" s="35"/>
      <c r="AJ113" s="35"/>
      <c r="AK113" s="11"/>
      <c r="AL113" s="33">
        <f t="shared" si="9"/>
        <v>6570</v>
      </c>
    </row>
    <row r="114" spans="2:38" ht="30.2" customHeight="1" x14ac:dyDescent="0.25">
      <c r="B114" s="26">
        <v>21401</v>
      </c>
      <c r="C114" s="61" t="s">
        <v>133</v>
      </c>
      <c r="D114" s="26">
        <v>0</v>
      </c>
      <c r="E114" s="49">
        <v>3</v>
      </c>
      <c r="F114" s="26" t="s">
        <v>49</v>
      </c>
      <c r="G114" s="62" t="s">
        <v>42</v>
      </c>
      <c r="H114" s="28" t="s">
        <v>43</v>
      </c>
      <c r="I114" s="151" t="s">
        <v>44</v>
      </c>
      <c r="J114" s="152"/>
      <c r="K114" s="38">
        <v>1537</v>
      </c>
      <c r="L114" s="29">
        <f t="shared" si="12"/>
        <v>4611</v>
      </c>
      <c r="M114" s="34"/>
      <c r="N114" s="35"/>
      <c r="O114" s="35"/>
      <c r="P114" s="35"/>
      <c r="Q114" s="35"/>
      <c r="R114" s="35"/>
      <c r="S114" s="35"/>
      <c r="T114" s="14">
        <v>2</v>
      </c>
      <c r="U114" s="31">
        <f t="shared" si="6"/>
        <v>3074</v>
      </c>
      <c r="V114" s="31"/>
      <c r="W114" s="35"/>
      <c r="X114" s="34"/>
      <c r="Y114" s="35"/>
      <c r="Z114" s="34"/>
      <c r="AA114" s="35"/>
      <c r="AB114" s="34">
        <v>4</v>
      </c>
      <c r="AC114" s="31">
        <f t="shared" si="13"/>
        <v>6148</v>
      </c>
      <c r="AD114" s="35"/>
      <c r="AE114" s="35"/>
      <c r="AF114" s="35"/>
      <c r="AG114" s="35"/>
      <c r="AH114" s="35"/>
      <c r="AI114" s="35"/>
      <c r="AJ114" s="35"/>
      <c r="AK114" s="11"/>
      <c r="AL114" s="33">
        <f t="shared" si="9"/>
        <v>9222</v>
      </c>
    </row>
    <row r="115" spans="2:38" ht="30.2" customHeight="1" x14ac:dyDescent="0.25">
      <c r="B115" s="26">
        <v>21401</v>
      </c>
      <c r="C115" s="61" t="s">
        <v>134</v>
      </c>
      <c r="D115" s="26">
        <v>0</v>
      </c>
      <c r="E115" s="49">
        <v>2</v>
      </c>
      <c r="F115" s="26" t="s">
        <v>49</v>
      </c>
      <c r="G115" s="62" t="s">
        <v>42</v>
      </c>
      <c r="H115" s="28" t="s">
        <v>43</v>
      </c>
      <c r="I115" s="151" t="s">
        <v>44</v>
      </c>
      <c r="J115" s="152"/>
      <c r="K115" s="38">
        <v>1799</v>
      </c>
      <c r="L115" s="29">
        <f t="shared" si="12"/>
        <v>3598</v>
      </c>
      <c r="M115" s="34"/>
      <c r="N115" s="35"/>
      <c r="O115" s="35"/>
      <c r="P115" s="35"/>
      <c r="Q115" s="35"/>
      <c r="R115" s="35"/>
      <c r="S115" s="35"/>
      <c r="T115" s="14">
        <v>2</v>
      </c>
      <c r="U115" s="31">
        <f t="shared" si="6"/>
        <v>3598</v>
      </c>
      <c r="V115" s="31"/>
      <c r="W115" s="35"/>
      <c r="X115" s="34"/>
      <c r="Y115" s="35"/>
      <c r="Z115" s="34"/>
      <c r="AA115" s="35"/>
      <c r="AB115" s="34">
        <v>1</v>
      </c>
      <c r="AC115" s="31">
        <f t="shared" si="13"/>
        <v>1799</v>
      </c>
      <c r="AD115" s="35"/>
      <c r="AE115" s="35"/>
      <c r="AF115" s="35"/>
      <c r="AG115" s="35"/>
      <c r="AH115" s="35"/>
      <c r="AI115" s="35"/>
      <c r="AJ115" s="35"/>
      <c r="AK115" s="11"/>
      <c r="AL115" s="33">
        <f t="shared" si="9"/>
        <v>5397</v>
      </c>
    </row>
    <row r="116" spans="2:38" ht="30.2" customHeight="1" x14ac:dyDescent="0.25">
      <c r="B116" s="26">
        <v>21401</v>
      </c>
      <c r="C116" s="61" t="s">
        <v>135</v>
      </c>
      <c r="D116" s="26">
        <v>0</v>
      </c>
      <c r="E116" s="49">
        <v>2</v>
      </c>
      <c r="F116" s="26" t="s">
        <v>49</v>
      </c>
      <c r="G116" s="62" t="s">
        <v>42</v>
      </c>
      <c r="H116" s="28" t="s">
        <v>43</v>
      </c>
      <c r="I116" s="151" t="s">
        <v>44</v>
      </c>
      <c r="J116" s="152"/>
      <c r="K116" s="38">
        <v>1799</v>
      </c>
      <c r="L116" s="29">
        <f t="shared" si="12"/>
        <v>3598</v>
      </c>
      <c r="M116" s="34"/>
      <c r="N116" s="35"/>
      <c r="O116" s="35"/>
      <c r="P116" s="35"/>
      <c r="Q116" s="35"/>
      <c r="R116" s="35"/>
      <c r="S116" s="35"/>
      <c r="T116" s="14">
        <v>2</v>
      </c>
      <c r="U116" s="31">
        <f t="shared" si="6"/>
        <v>3598</v>
      </c>
      <c r="V116" s="31"/>
      <c r="W116" s="35"/>
      <c r="X116" s="34"/>
      <c r="Y116" s="35"/>
      <c r="Z116" s="34"/>
      <c r="AA116" s="35"/>
      <c r="AB116" s="34">
        <v>1</v>
      </c>
      <c r="AC116" s="31">
        <f t="shared" si="13"/>
        <v>1799</v>
      </c>
      <c r="AD116" s="35"/>
      <c r="AE116" s="35"/>
      <c r="AF116" s="35"/>
      <c r="AG116" s="35"/>
      <c r="AH116" s="35"/>
      <c r="AI116" s="35"/>
      <c r="AJ116" s="35"/>
      <c r="AK116" s="11"/>
      <c r="AL116" s="33">
        <f t="shared" si="9"/>
        <v>5397</v>
      </c>
    </row>
    <row r="117" spans="2:38" ht="30.2" customHeight="1" x14ac:dyDescent="0.25">
      <c r="B117" s="26">
        <v>21401</v>
      </c>
      <c r="C117" s="61" t="s">
        <v>136</v>
      </c>
      <c r="D117" s="26">
        <v>0</v>
      </c>
      <c r="E117" s="49">
        <v>2</v>
      </c>
      <c r="F117" s="26" t="s">
        <v>49</v>
      </c>
      <c r="G117" s="62" t="s">
        <v>42</v>
      </c>
      <c r="H117" s="28" t="s">
        <v>43</v>
      </c>
      <c r="I117" s="151" t="s">
        <v>44</v>
      </c>
      <c r="J117" s="152"/>
      <c r="K117" s="38">
        <v>1799</v>
      </c>
      <c r="L117" s="29">
        <f t="shared" si="12"/>
        <v>3598</v>
      </c>
      <c r="M117" s="34"/>
      <c r="N117" s="35"/>
      <c r="O117" s="35"/>
      <c r="P117" s="35"/>
      <c r="Q117" s="35"/>
      <c r="R117" s="35"/>
      <c r="S117" s="35"/>
      <c r="T117" s="14">
        <v>2</v>
      </c>
      <c r="U117" s="31">
        <f t="shared" si="6"/>
        <v>3598</v>
      </c>
      <c r="V117" s="31"/>
      <c r="W117" s="35"/>
      <c r="X117" s="34"/>
      <c r="Y117" s="35"/>
      <c r="Z117" s="34"/>
      <c r="AA117" s="35"/>
      <c r="AB117" s="34">
        <v>1</v>
      </c>
      <c r="AC117" s="31">
        <f t="shared" si="13"/>
        <v>1799</v>
      </c>
      <c r="AD117" s="35"/>
      <c r="AE117" s="35"/>
      <c r="AF117" s="35"/>
      <c r="AG117" s="35"/>
      <c r="AH117" s="35"/>
      <c r="AI117" s="35"/>
      <c r="AJ117" s="35"/>
      <c r="AK117" s="11"/>
      <c r="AL117" s="33">
        <f t="shared" si="9"/>
        <v>5397</v>
      </c>
    </row>
    <row r="118" spans="2:38" ht="30.2" customHeight="1" x14ac:dyDescent="0.25">
      <c r="B118" s="26">
        <v>21401</v>
      </c>
      <c r="C118" s="61" t="s">
        <v>137</v>
      </c>
      <c r="D118" s="26">
        <v>0</v>
      </c>
      <c r="E118" s="49">
        <v>1</v>
      </c>
      <c r="F118" s="47" t="s">
        <v>546</v>
      </c>
      <c r="G118" s="62" t="s">
        <v>42</v>
      </c>
      <c r="H118" s="28" t="s">
        <v>43</v>
      </c>
      <c r="I118" s="151" t="s">
        <v>44</v>
      </c>
      <c r="J118" s="152"/>
      <c r="K118" s="38">
        <v>28350.560000000001</v>
      </c>
      <c r="L118" s="29">
        <f t="shared" si="12"/>
        <v>28350.560000000001</v>
      </c>
      <c r="M118" s="34"/>
      <c r="N118" s="35"/>
      <c r="O118" s="35"/>
      <c r="P118" s="35"/>
      <c r="Q118" s="35"/>
      <c r="R118" s="35"/>
      <c r="S118" s="35"/>
      <c r="T118" s="14">
        <v>5</v>
      </c>
      <c r="U118" s="31">
        <f t="shared" si="6"/>
        <v>141752.80000000002</v>
      </c>
      <c r="V118" s="31"/>
      <c r="W118" s="35"/>
      <c r="X118" s="34"/>
      <c r="Y118" s="35"/>
      <c r="Z118" s="34"/>
      <c r="AA118" s="35"/>
      <c r="AB118" s="34">
        <v>5</v>
      </c>
      <c r="AC118" s="31">
        <f t="shared" si="13"/>
        <v>141752.80000000002</v>
      </c>
      <c r="AD118" s="35"/>
      <c r="AE118" s="35"/>
      <c r="AF118" s="35"/>
      <c r="AG118" s="35"/>
      <c r="AH118" s="35"/>
      <c r="AI118" s="35"/>
      <c r="AJ118" s="35"/>
      <c r="AK118" s="11"/>
      <c r="AL118" s="33">
        <f t="shared" si="9"/>
        <v>283505.60000000003</v>
      </c>
    </row>
    <row r="119" spans="2:38" ht="30.2" customHeight="1" x14ac:dyDescent="0.25">
      <c r="B119" s="26">
        <v>21401</v>
      </c>
      <c r="C119" s="61" t="s">
        <v>138</v>
      </c>
      <c r="D119" s="26">
        <v>0</v>
      </c>
      <c r="E119" s="49">
        <v>5</v>
      </c>
      <c r="F119" s="47" t="s">
        <v>49</v>
      </c>
      <c r="G119" s="62" t="s">
        <v>42</v>
      </c>
      <c r="H119" s="28" t="s">
        <v>43</v>
      </c>
      <c r="I119" s="151" t="s">
        <v>44</v>
      </c>
      <c r="J119" s="152"/>
      <c r="K119" s="38">
        <f>2130.21*1.16*(1.1)</f>
        <v>2718.1479600000002</v>
      </c>
      <c r="L119" s="29">
        <f t="shared" si="12"/>
        <v>13590.739800000001</v>
      </c>
      <c r="M119" s="34"/>
      <c r="N119" s="35"/>
      <c r="O119" s="35"/>
      <c r="P119" s="35"/>
      <c r="Q119" s="35"/>
      <c r="R119" s="35"/>
      <c r="S119" s="35"/>
      <c r="T119" s="14">
        <v>5</v>
      </c>
      <c r="U119" s="31">
        <f t="shared" si="6"/>
        <v>13590.739800000001</v>
      </c>
      <c r="V119" s="31"/>
      <c r="W119" s="35"/>
      <c r="X119" s="34"/>
      <c r="Y119" s="35"/>
      <c r="Z119" s="34"/>
      <c r="AA119" s="35"/>
      <c r="AB119" s="34">
        <v>4</v>
      </c>
      <c r="AC119" s="31">
        <f t="shared" si="13"/>
        <v>10872.591840000001</v>
      </c>
      <c r="AD119" s="35"/>
      <c r="AE119" s="35"/>
      <c r="AF119" s="35"/>
      <c r="AG119" s="35"/>
      <c r="AH119" s="35"/>
      <c r="AI119" s="35"/>
      <c r="AJ119" s="35"/>
      <c r="AK119" s="11"/>
      <c r="AL119" s="33">
        <f t="shared" si="9"/>
        <v>24463.331640000004</v>
      </c>
    </row>
    <row r="120" spans="2:38" ht="30.2" customHeight="1" x14ac:dyDescent="0.25">
      <c r="B120" s="26">
        <v>21401</v>
      </c>
      <c r="C120" s="61" t="s">
        <v>139</v>
      </c>
      <c r="D120" s="26">
        <v>0</v>
      </c>
      <c r="E120" s="49">
        <v>5</v>
      </c>
      <c r="F120" s="47" t="s">
        <v>49</v>
      </c>
      <c r="G120" s="62" t="s">
        <v>42</v>
      </c>
      <c r="H120" s="28" t="s">
        <v>43</v>
      </c>
      <c r="I120" s="151" t="s">
        <v>44</v>
      </c>
      <c r="J120" s="152"/>
      <c r="K120" s="38">
        <f>2130.21*1.16*(1.1)</f>
        <v>2718.1479600000002</v>
      </c>
      <c r="L120" s="29">
        <f t="shared" si="12"/>
        <v>13590.739800000001</v>
      </c>
      <c r="M120" s="34"/>
      <c r="N120" s="35"/>
      <c r="O120" s="35"/>
      <c r="P120" s="35"/>
      <c r="Q120" s="35"/>
      <c r="R120" s="35"/>
      <c r="S120" s="35"/>
      <c r="T120" s="14">
        <v>4</v>
      </c>
      <c r="U120" s="31">
        <f t="shared" si="6"/>
        <v>10872.591840000001</v>
      </c>
      <c r="V120" s="31"/>
      <c r="W120" s="35"/>
      <c r="X120" s="34"/>
      <c r="Y120" s="35"/>
      <c r="Z120" s="34"/>
      <c r="AA120" s="35"/>
      <c r="AB120" s="34">
        <v>4</v>
      </c>
      <c r="AC120" s="31">
        <f t="shared" si="13"/>
        <v>10872.591840000001</v>
      </c>
      <c r="AD120" s="35"/>
      <c r="AE120" s="35"/>
      <c r="AF120" s="35"/>
      <c r="AG120" s="35"/>
      <c r="AH120" s="35"/>
      <c r="AI120" s="35"/>
      <c r="AJ120" s="35"/>
      <c r="AK120" s="11"/>
      <c r="AL120" s="33">
        <f t="shared" si="9"/>
        <v>21745.183680000002</v>
      </c>
    </row>
    <row r="121" spans="2:38" ht="30.2" customHeight="1" x14ac:dyDescent="0.25">
      <c r="B121" s="26">
        <v>21401</v>
      </c>
      <c r="C121" s="61" t="s">
        <v>140</v>
      </c>
      <c r="D121" s="26">
        <v>0</v>
      </c>
      <c r="E121" s="49">
        <v>5</v>
      </c>
      <c r="F121" s="47" t="s">
        <v>49</v>
      </c>
      <c r="G121" s="62" t="s">
        <v>42</v>
      </c>
      <c r="H121" s="28" t="s">
        <v>43</v>
      </c>
      <c r="I121" s="151" t="s">
        <v>44</v>
      </c>
      <c r="J121" s="152"/>
      <c r="K121" s="38">
        <f>2130.21*1.16*(1.1)</f>
        <v>2718.1479600000002</v>
      </c>
      <c r="L121" s="29">
        <f t="shared" si="12"/>
        <v>13590.739800000001</v>
      </c>
      <c r="M121" s="34"/>
      <c r="N121" s="35"/>
      <c r="O121" s="35"/>
      <c r="P121" s="35"/>
      <c r="Q121" s="35"/>
      <c r="R121" s="35"/>
      <c r="S121" s="35"/>
      <c r="T121" s="14">
        <v>4</v>
      </c>
      <c r="U121" s="31">
        <f t="shared" si="6"/>
        <v>10872.591840000001</v>
      </c>
      <c r="V121" s="31"/>
      <c r="W121" s="35"/>
      <c r="X121" s="34"/>
      <c r="Y121" s="35"/>
      <c r="Z121" s="34"/>
      <c r="AA121" s="35"/>
      <c r="AB121" s="34">
        <v>4</v>
      </c>
      <c r="AC121" s="31">
        <f t="shared" si="13"/>
        <v>10872.591840000001</v>
      </c>
      <c r="AD121" s="35"/>
      <c r="AE121" s="35"/>
      <c r="AF121" s="35"/>
      <c r="AG121" s="35"/>
      <c r="AH121" s="35"/>
      <c r="AI121" s="35"/>
      <c r="AJ121" s="35"/>
      <c r="AK121" s="11"/>
      <c r="AL121" s="33">
        <f t="shared" si="9"/>
        <v>21745.183680000002</v>
      </c>
    </row>
    <row r="122" spans="2:38" ht="30.2" customHeight="1" x14ac:dyDescent="0.25">
      <c r="B122" s="26">
        <v>21401</v>
      </c>
      <c r="C122" s="25" t="s">
        <v>141</v>
      </c>
      <c r="D122" s="26">
        <v>0</v>
      </c>
      <c r="E122" s="49">
        <v>3</v>
      </c>
      <c r="F122" s="12" t="s">
        <v>49</v>
      </c>
      <c r="G122" s="27" t="s">
        <v>42</v>
      </c>
      <c r="H122" s="28" t="s">
        <v>43</v>
      </c>
      <c r="I122" s="143" t="s">
        <v>44</v>
      </c>
      <c r="J122" s="144"/>
      <c r="K122" s="36">
        <f>2009*1.16*(1.1)</f>
        <v>2563.4840000000004</v>
      </c>
      <c r="L122" s="29">
        <f t="shared" si="12"/>
        <v>7690.4520000000011</v>
      </c>
      <c r="M122" s="34"/>
      <c r="N122" s="35"/>
      <c r="O122" s="35"/>
      <c r="P122" s="35"/>
      <c r="Q122" s="35"/>
      <c r="R122" s="35"/>
      <c r="S122" s="35"/>
      <c r="T122" s="14">
        <v>2</v>
      </c>
      <c r="U122" s="31">
        <f t="shared" si="6"/>
        <v>5126.9680000000008</v>
      </c>
      <c r="V122" s="31"/>
      <c r="W122" s="35"/>
      <c r="X122" s="34"/>
      <c r="Y122" s="35"/>
      <c r="Z122" s="34"/>
      <c r="AA122" s="35"/>
      <c r="AB122" s="34">
        <v>1</v>
      </c>
      <c r="AC122" s="31">
        <f t="shared" si="13"/>
        <v>2563.4840000000004</v>
      </c>
      <c r="AD122" s="35"/>
      <c r="AE122" s="35"/>
      <c r="AF122" s="35"/>
      <c r="AG122" s="35"/>
      <c r="AH122" s="35"/>
      <c r="AI122" s="35"/>
      <c r="AJ122" s="35"/>
      <c r="AK122" s="11"/>
      <c r="AL122" s="33">
        <f t="shared" si="9"/>
        <v>7690.4520000000011</v>
      </c>
    </row>
    <row r="123" spans="2:38" ht="30.2" customHeight="1" x14ac:dyDescent="0.25">
      <c r="B123" s="26">
        <v>21401</v>
      </c>
      <c r="C123" s="25" t="s">
        <v>142</v>
      </c>
      <c r="D123" s="26">
        <v>0</v>
      </c>
      <c r="E123" s="49">
        <v>3</v>
      </c>
      <c r="F123" s="12" t="s">
        <v>49</v>
      </c>
      <c r="G123" s="27" t="s">
        <v>42</v>
      </c>
      <c r="H123" s="28" t="s">
        <v>43</v>
      </c>
      <c r="I123" s="143" t="s">
        <v>44</v>
      </c>
      <c r="J123" s="144"/>
      <c r="K123" s="36">
        <f>2889*1.16*(1.1)</f>
        <v>3686.364</v>
      </c>
      <c r="L123" s="29">
        <f t="shared" si="12"/>
        <v>11059.092000000001</v>
      </c>
      <c r="M123" s="34"/>
      <c r="N123" s="35"/>
      <c r="O123" s="35"/>
      <c r="P123" s="35"/>
      <c r="Q123" s="35"/>
      <c r="R123" s="35"/>
      <c r="S123" s="35"/>
      <c r="T123" s="14">
        <v>2</v>
      </c>
      <c r="U123" s="31">
        <f t="shared" si="6"/>
        <v>7372.7280000000001</v>
      </c>
      <c r="V123" s="31"/>
      <c r="W123" s="35"/>
      <c r="X123" s="34"/>
      <c r="Y123" s="35"/>
      <c r="Z123" s="34"/>
      <c r="AA123" s="35"/>
      <c r="AB123" s="34">
        <v>1</v>
      </c>
      <c r="AC123" s="31">
        <f t="shared" si="13"/>
        <v>3686.364</v>
      </c>
      <c r="AD123" s="35"/>
      <c r="AE123" s="35"/>
      <c r="AF123" s="35"/>
      <c r="AG123" s="35"/>
      <c r="AH123" s="35"/>
      <c r="AI123" s="35"/>
      <c r="AJ123" s="35"/>
      <c r="AK123" s="11"/>
      <c r="AL123" s="33">
        <f t="shared" si="9"/>
        <v>11059.092000000001</v>
      </c>
    </row>
    <row r="124" spans="2:38" ht="30.2" customHeight="1" x14ac:dyDescent="0.25">
      <c r="B124" s="26">
        <v>21401</v>
      </c>
      <c r="C124" s="25" t="s">
        <v>143</v>
      </c>
      <c r="D124" s="26">
        <v>0</v>
      </c>
      <c r="E124" s="49">
        <v>3</v>
      </c>
      <c r="F124" s="12" t="s">
        <v>49</v>
      </c>
      <c r="G124" s="27" t="s">
        <v>42</v>
      </c>
      <c r="H124" s="28" t="s">
        <v>43</v>
      </c>
      <c r="I124" s="143" t="s">
        <v>44</v>
      </c>
      <c r="J124" s="144"/>
      <c r="K124" s="36">
        <f>2889*1.16*(1.1)</f>
        <v>3686.364</v>
      </c>
      <c r="L124" s="29">
        <f t="shared" si="12"/>
        <v>11059.092000000001</v>
      </c>
      <c r="M124" s="34"/>
      <c r="N124" s="35"/>
      <c r="O124" s="35"/>
      <c r="P124" s="35"/>
      <c r="Q124" s="35"/>
      <c r="R124" s="35"/>
      <c r="S124" s="35"/>
      <c r="T124" s="14">
        <v>2</v>
      </c>
      <c r="U124" s="31">
        <f t="shared" si="6"/>
        <v>7372.7280000000001</v>
      </c>
      <c r="V124" s="31"/>
      <c r="W124" s="35"/>
      <c r="X124" s="34"/>
      <c r="Y124" s="35"/>
      <c r="Z124" s="34"/>
      <c r="AA124" s="35"/>
      <c r="AB124" s="34">
        <v>1</v>
      </c>
      <c r="AC124" s="31">
        <f t="shared" si="13"/>
        <v>3686.364</v>
      </c>
      <c r="AD124" s="35"/>
      <c r="AE124" s="35"/>
      <c r="AF124" s="35"/>
      <c r="AG124" s="35"/>
      <c r="AH124" s="35"/>
      <c r="AI124" s="35"/>
      <c r="AJ124" s="35"/>
      <c r="AK124" s="11"/>
      <c r="AL124" s="33">
        <f t="shared" si="9"/>
        <v>11059.092000000001</v>
      </c>
    </row>
    <row r="125" spans="2:38" ht="30.2" customHeight="1" x14ac:dyDescent="0.25">
      <c r="B125" s="26">
        <v>21401</v>
      </c>
      <c r="C125" s="25" t="s">
        <v>144</v>
      </c>
      <c r="D125" s="26">
        <v>0</v>
      </c>
      <c r="E125" s="49">
        <v>7</v>
      </c>
      <c r="F125" s="12" t="s">
        <v>49</v>
      </c>
      <c r="G125" s="27" t="s">
        <v>42</v>
      </c>
      <c r="H125" s="28" t="s">
        <v>43</v>
      </c>
      <c r="I125" s="143" t="s">
        <v>44</v>
      </c>
      <c r="J125" s="144"/>
      <c r="K125" s="36">
        <f>2889*1.16*(1.1)</f>
        <v>3686.364</v>
      </c>
      <c r="L125" s="29">
        <f t="shared" si="12"/>
        <v>25804.547999999999</v>
      </c>
      <c r="M125" s="34"/>
      <c r="N125" s="35"/>
      <c r="O125" s="35"/>
      <c r="P125" s="35"/>
      <c r="Q125" s="35"/>
      <c r="R125" s="35"/>
      <c r="S125" s="35"/>
      <c r="T125" s="14">
        <v>5</v>
      </c>
      <c r="U125" s="31">
        <f t="shared" si="6"/>
        <v>18431.82</v>
      </c>
      <c r="V125" s="31"/>
      <c r="W125" s="35"/>
      <c r="X125" s="34"/>
      <c r="Y125" s="35"/>
      <c r="Z125" s="34"/>
      <c r="AA125" s="35"/>
      <c r="AB125" s="34">
        <v>4</v>
      </c>
      <c r="AC125" s="31">
        <f t="shared" si="13"/>
        <v>14745.456</v>
      </c>
      <c r="AD125" s="35"/>
      <c r="AE125" s="35"/>
      <c r="AF125" s="35"/>
      <c r="AG125" s="35"/>
      <c r="AH125" s="35"/>
      <c r="AI125" s="35"/>
      <c r="AJ125" s="35"/>
      <c r="AK125" s="11"/>
      <c r="AL125" s="33">
        <f t="shared" si="9"/>
        <v>33177.275999999998</v>
      </c>
    </row>
    <row r="126" spans="2:38" ht="33" customHeight="1" x14ac:dyDescent="0.25">
      <c r="B126" s="26">
        <v>21401</v>
      </c>
      <c r="C126" s="46" t="s">
        <v>145</v>
      </c>
      <c r="D126" s="26">
        <v>0</v>
      </c>
      <c r="E126" s="14">
        <v>2</v>
      </c>
      <c r="F126" s="12" t="s">
        <v>49</v>
      </c>
      <c r="G126" s="27" t="s">
        <v>42</v>
      </c>
      <c r="H126" s="28" t="s">
        <v>43</v>
      </c>
      <c r="I126" s="143" t="s">
        <v>44</v>
      </c>
      <c r="J126" s="144"/>
      <c r="K126" s="38">
        <v>5228</v>
      </c>
      <c r="L126" s="29">
        <f t="shared" si="12"/>
        <v>10456</v>
      </c>
      <c r="M126" s="34"/>
      <c r="N126" s="35"/>
      <c r="O126" s="35"/>
      <c r="P126" s="35"/>
      <c r="Q126" s="35"/>
      <c r="R126" s="35"/>
      <c r="S126" s="35"/>
      <c r="T126" s="14">
        <v>1</v>
      </c>
      <c r="U126" s="31">
        <f t="shared" si="6"/>
        <v>5228</v>
      </c>
      <c r="V126" s="31"/>
      <c r="W126" s="35"/>
      <c r="X126" s="34"/>
      <c r="Y126" s="35"/>
      <c r="Z126" s="34"/>
      <c r="AA126" s="35"/>
      <c r="AB126" s="34">
        <v>1</v>
      </c>
      <c r="AC126" s="31">
        <f t="shared" si="13"/>
        <v>5228</v>
      </c>
      <c r="AD126" s="35"/>
      <c r="AE126" s="35"/>
      <c r="AF126" s="35"/>
      <c r="AG126" s="35"/>
      <c r="AH126" s="35"/>
      <c r="AI126" s="35"/>
      <c r="AJ126" s="35"/>
      <c r="AK126" s="11"/>
      <c r="AL126" s="33">
        <f t="shared" si="9"/>
        <v>10456</v>
      </c>
    </row>
    <row r="127" spans="2:38" ht="32.25" customHeight="1" x14ac:dyDescent="0.25">
      <c r="B127" s="26">
        <v>21401</v>
      </c>
      <c r="C127" s="46" t="s">
        <v>146</v>
      </c>
      <c r="D127" s="26">
        <v>0</v>
      </c>
      <c r="E127" s="14">
        <v>2</v>
      </c>
      <c r="F127" s="12" t="s">
        <v>49</v>
      </c>
      <c r="G127" s="27" t="s">
        <v>42</v>
      </c>
      <c r="H127" s="28" t="s">
        <v>43</v>
      </c>
      <c r="I127" s="143" t="s">
        <v>44</v>
      </c>
      <c r="J127" s="144"/>
      <c r="K127" s="38">
        <v>5228</v>
      </c>
      <c r="L127" s="29">
        <f t="shared" si="12"/>
        <v>10456</v>
      </c>
      <c r="M127" s="34"/>
      <c r="N127" s="35"/>
      <c r="O127" s="35"/>
      <c r="P127" s="35"/>
      <c r="Q127" s="35"/>
      <c r="R127" s="35"/>
      <c r="S127" s="35"/>
      <c r="T127" s="14">
        <v>1</v>
      </c>
      <c r="U127" s="31">
        <f t="shared" si="6"/>
        <v>5228</v>
      </c>
      <c r="V127" s="31"/>
      <c r="W127" s="35"/>
      <c r="X127" s="34"/>
      <c r="Y127" s="35"/>
      <c r="Z127" s="34"/>
      <c r="AA127" s="35"/>
      <c r="AB127" s="34">
        <v>1</v>
      </c>
      <c r="AC127" s="31">
        <f t="shared" si="13"/>
        <v>5228</v>
      </c>
      <c r="AD127" s="35"/>
      <c r="AE127" s="35"/>
      <c r="AF127" s="35"/>
      <c r="AG127" s="35"/>
      <c r="AH127" s="35"/>
      <c r="AI127" s="35"/>
      <c r="AJ127" s="35"/>
      <c r="AK127" s="11"/>
      <c r="AL127" s="33">
        <f t="shared" si="9"/>
        <v>10456</v>
      </c>
    </row>
    <row r="128" spans="2:38" ht="33.75" customHeight="1" x14ac:dyDescent="0.25">
      <c r="B128" s="26">
        <v>21401</v>
      </c>
      <c r="C128" s="46" t="s">
        <v>147</v>
      </c>
      <c r="D128" s="26">
        <v>0</v>
      </c>
      <c r="E128" s="14">
        <v>2</v>
      </c>
      <c r="F128" s="12" t="s">
        <v>49</v>
      </c>
      <c r="G128" s="27" t="s">
        <v>42</v>
      </c>
      <c r="H128" s="28" t="s">
        <v>43</v>
      </c>
      <c r="I128" s="143" t="s">
        <v>44</v>
      </c>
      <c r="J128" s="144"/>
      <c r="K128" s="38">
        <v>5228</v>
      </c>
      <c r="L128" s="29">
        <f t="shared" si="12"/>
        <v>10456</v>
      </c>
      <c r="M128" s="34"/>
      <c r="N128" s="35"/>
      <c r="O128" s="35"/>
      <c r="P128" s="35"/>
      <c r="Q128" s="35"/>
      <c r="R128" s="35"/>
      <c r="S128" s="35"/>
      <c r="T128" s="14">
        <v>1</v>
      </c>
      <c r="U128" s="31">
        <f t="shared" si="6"/>
        <v>5228</v>
      </c>
      <c r="V128" s="31"/>
      <c r="W128" s="35"/>
      <c r="X128" s="34"/>
      <c r="Y128" s="35"/>
      <c r="Z128" s="34"/>
      <c r="AA128" s="35"/>
      <c r="AB128" s="34">
        <v>1</v>
      </c>
      <c r="AC128" s="31">
        <f t="shared" si="13"/>
        <v>5228</v>
      </c>
      <c r="AD128" s="35"/>
      <c r="AE128" s="35"/>
      <c r="AF128" s="35"/>
      <c r="AG128" s="35"/>
      <c r="AH128" s="35"/>
      <c r="AI128" s="35"/>
      <c r="AJ128" s="35"/>
      <c r="AK128" s="11"/>
      <c r="AL128" s="33">
        <f t="shared" si="9"/>
        <v>10456</v>
      </c>
    </row>
    <row r="129" spans="2:38" ht="33.75" customHeight="1" x14ac:dyDescent="0.25">
      <c r="B129" s="26">
        <v>21401</v>
      </c>
      <c r="C129" s="46" t="s">
        <v>148</v>
      </c>
      <c r="D129" s="26">
        <v>0</v>
      </c>
      <c r="E129" s="14">
        <v>2</v>
      </c>
      <c r="F129" s="12" t="s">
        <v>49</v>
      </c>
      <c r="G129" s="27" t="s">
        <v>42</v>
      </c>
      <c r="H129" s="28" t="s">
        <v>43</v>
      </c>
      <c r="I129" s="143" t="s">
        <v>44</v>
      </c>
      <c r="J129" s="144"/>
      <c r="K129" s="38">
        <v>3745.95</v>
      </c>
      <c r="L129" s="29">
        <f t="shared" si="12"/>
        <v>7491.9</v>
      </c>
      <c r="M129" s="34"/>
      <c r="N129" s="35"/>
      <c r="O129" s="35"/>
      <c r="P129" s="35"/>
      <c r="Q129" s="35"/>
      <c r="R129" s="35"/>
      <c r="S129" s="35"/>
      <c r="T129" s="14">
        <v>1</v>
      </c>
      <c r="U129" s="31">
        <f t="shared" si="6"/>
        <v>3745.95</v>
      </c>
      <c r="V129" s="31"/>
      <c r="W129" s="35"/>
      <c r="X129" s="34"/>
      <c r="Y129" s="35"/>
      <c r="Z129" s="34"/>
      <c r="AA129" s="35"/>
      <c r="AB129" s="34">
        <v>1</v>
      </c>
      <c r="AC129" s="31">
        <f t="shared" si="13"/>
        <v>3745.95</v>
      </c>
      <c r="AD129" s="35"/>
      <c r="AE129" s="35"/>
      <c r="AF129" s="35"/>
      <c r="AG129" s="35"/>
      <c r="AH129" s="35"/>
      <c r="AI129" s="35"/>
      <c r="AJ129" s="35"/>
      <c r="AK129" s="11"/>
      <c r="AL129" s="33">
        <f t="shared" si="9"/>
        <v>7491.9</v>
      </c>
    </row>
    <row r="130" spans="2:38" ht="30.2" customHeight="1" x14ac:dyDescent="0.25">
      <c r="B130" s="26">
        <v>21401</v>
      </c>
      <c r="C130" s="25" t="s">
        <v>149</v>
      </c>
      <c r="D130" s="26">
        <v>0</v>
      </c>
      <c r="E130" s="14">
        <v>4</v>
      </c>
      <c r="F130" s="14" t="s">
        <v>49</v>
      </c>
      <c r="G130" s="27" t="s">
        <v>42</v>
      </c>
      <c r="H130" s="28" t="s">
        <v>43</v>
      </c>
      <c r="I130" s="143" t="s">
        <v>44</v>
      </c>
      <c r="J130" s="144"/>
      <c r="K130" s="36">
        <v>2119.71</v>
      </c>
      <c r="L130" s="29">
        <f t="shared" si="12"/>
        <v>8478.84</v>
      </c>
      <c r="M130" s="34"/>
      <c r="N130" s="35"/>
      <c r="O130" s="35"/>
      <c r="P130" s="35"/>
      <c r="Q130" s="35"/>
      <c r="R130" s="35"/>
      <c r="S130" s="35"/>
      <c r="T130" s="14">
        <v>2</v>
      </c>
      <c r="U130" s="31">
        <f t="shared" si="6"/>
        <v>4239.42</v>
      </c>
      <c r="V130" s="31"/>
      <c r="W130" s="35"/>
      <c r="X130" s="34"/>
      <c r="Y130" s="35"/>
      <c r="Z130" s="34"/>
      <c r="AA130" s="35"/>
      <c r="AB130" s="34">
        <v>2</v>
      </c>
      <c r="AC130" s="31">
        <f t="shared" si="13"/>
        <v>4239.42</v>
      </c>
      <c r="AD130" s="35"/>
      <c r="AE130" s="35"/>
      <c r="AF130" s="35"/>
      <c r="AG130" s="35"/>
      <c r="AH130" s="35"/>
      <c r="AI130" s="35"/>
      <c r="AJ130" s="35"/>
      <c r="AK130" s="11"/>
      <c r="AL130" s="33">
        <f t="shared" si="9"/>
        <v>8478.84</v>
      </c>
    </row>
    <row r="131" spans="2:38" ht="30.2" customHeight="1" x14ac:dyDescent="0.25">
      <c r="B131" s="14">
        <v>21401</v>
      </c>
      <c r="C131" s="11" t="s">
        <v>150</v>
      </c>
      <c r="D131" s="26">
        <v>0</v>
      </c>
      <c r="E131" s="12">
        <v>16</v>
      </c>
      <c r="F131" s="12" t="s">
        <v>49</v>
      </c>
      <c r="G131" s="27" t="s">
        <v>42</v>
      </c>
      <c r="H131" s="28" t="s">
        <v>43</v>
      </c>
      <c r="I131" s="143" t="s">
        <v>44</v>
      </c>
      <c r="J131" s="144"/>
      <c r="K131" s="36">
        <f>1075.48*1.16*(1.1)</f>
        <v>1372.3124799999998</v>
      </c>
      <c r="L131" s="29">
        <f t="shared" si="12"/>
        <v>21956.999679999997</v>
      </c>
      <c r="M131" s="34"/>
      <c r="N131" s="35"/>
      <c r="O131" s="35"/>
      <c r="P131" s="35"/>
      <c r="Q131" s="35"/>
      <c r="R131" s="35"/>
      <c r="S131" s="35"/>
      <c r="T131" s="14">
        <v>10</v>
      </c>
      <c r="U131" s="31">
        <f t="shared" si="6"/>
        <v>13723.124799999998</v>
      </c>
      <c r="V131" s="31"/>
      <c r="W131" s="35"/>
      <c r="X131" s="34"/>
      <c r="Y131" s="35"/>
      <c r="Z131" s="34"/>
      <c r="AA131" s="35"/>
      <c r="AB131" s="34">
        <v>10</v>
      </c>
      <c r="AC131" s="31">
        <f t="shared" si="13"/>
        <v>13723.124799999998</v>
      </c>
      <c r="AD131" s="35"/>
      <c r="AE131" s="35"/>
      <c r="AF131" s="35"/>
      <c r="AG131" s="35"/>
      <c r="AH131" s="35"/>
      <c r="AI131" s="35"/>
      <c r="AJ131" s="35"/>
      <c r="AK131" s="11"/>
      <c r="AL131" s="33">
        <f t="shared" si="9"/>
        <v>27446.249599999996</v>
      </c>
    </row>
    <row r="132" spans="2:38" ht="30.2" customHeight="1" x14ac:dyDescent="0.25">
      <c r="B132" s="14">
        <v>21401</v>
      </c>
      <c r="C132" s="11" t="s">
        <v>151</v>
      </c>
      <c r="D132" s="26">
        <v>0</v>
      </c>
      <c r="E132" s="49">
        <v>12</v>
      </c>
      <c r="F132" s="12" t="s">
        <v>49</v>
      </c>
      <c r="G132" s="27" t="s">
        <v>42</v>
      </c>
      <c r="H132" s="28" t="s">
        <v>43</v>
      </c>
      <c r="I132" s="143" t="s">
        <v>44</v>
      </c>
      <c r="J132" s="144"/>
      <c r="K132" s="36">
        <f>1075.48*1.16*(1.1)</f>
        <v>1372.3124799999998</v>
      </c>
      <c r="L132" s="29">
        <f t="shared" si="12"/>
        <v>16467.749759999999</v>
      </c>
      <c r="M132" s="34"/>
      <c r="N132" s="35"/>
      <c r="O132" s="35"/>
      <c r="P132" s="35"/>
      <c r="Q132" s="35"/>
      <c r="R132" s="35"/>
      <c r="S132" s="35"/>
      <c r="T132" s="14">
        <v>6</v>
      </c>
      <c r="U132" s="31">
        <f t="shared" ref="U132:U170" si="14">T132*K132</f>
        <v>8233.8748799999994</v>
      </c>
      <c r="V132" s="31"/>
      <c r="W132" s="35"/>
      <c r="X132" s="34"/>
      <c r="Y132" s="35"/>
      <c r="Z132" s="34"/>
      <c r="AA132" s="35"/>
      <c r="AB132" s="34">
        <v>6</v>
      </c>
      <c r="AC132" s="31">
        <f t="shared" si="13"/>
        <v>8233.8748799999994</v>
      </c>
      <c r="AD132" s="35"/>
      <c r="AE132" s="35"/>
      <c r="AF132" s="35"/>
      <c r="AG132" s="35"/>
      <c r="AH132" s="35"/>
      <c r="AI132" s="35"/>
      <c r="AJ132" s="35"/>
      <c r="AK132" s="11"/>
      <c r="AL132" s="33">
        <f t="shared" si="9"/>
        <v>16467.749759999999</v>
      </c>
    </row>
    <row r="133" spans="2:38" ht="30.2" customHeight="1" x14ac:dyDescent="0.25">
      <c r="B133" s="14">
        <v>21401</v>
      </c>
      <c r="C133" s="25" t="s">
        <v>149</v>
      </c>
      <c r="D133" s="26">
        <v>0</v>
      </c>
      <c r="E133" s="14">
        <v>4</v>
      </c>
      <c r="F133" s="14" t="s">
        <v>49</v>
      </c>
      <c r="G133" s="27" t="s">
        <v>42</v>
      </c>
      <c r="H133" s="28" t="s">
        <v>43</v>
      </c>
      <c r="I133" s="143" t="s">
        <v>44</v>
      </c>
      <c r="J133" s="144"/>
      <c r="K133" s="36">
        <v>2119.71</v>
      </c>
      <c r="L133" s="29">
        <f t="shared" si="12"/>
        <v>8478.84</v>
      </c>
      <c r="M133" s="34"/>
      <c r="N133" s="35"/>
      <c r="O133" s="35"/>
      <c r="P133" s="35"/>
      <c r="Q133" s="35"/>
      <c r="R133" s="35"/>
      <c r="S133" s="35"/>
      <c r="T133" s="14">
        <v>2</v>
      </c>
      <c r="U133" s="31">
        <f t="shared" si="14"/>
        <v>4239.42</v>
      </c>
      <c r="V133" s="31"/>
      <c r="W133" s="35"/>
      <c r="X133" s="34"/>
      <c r="Y133" s="35"/>
      <c r="Z133" s="34"/>
      <c r="AA133" s="35"/>
      <c r="AB133" s="34">
        <v>2</v>
      </c>
      <c r="AC133" s="31">
        <f t="shared" si="13"/>
        <v>4239.42</v>
      </c>
      <c r="AD133" s="35"/>
      <c r="AE133" s="35"/>
      <c r="AF133" s="35"/>
      <c r="AG133" s="35"/>
      <c r="AH133" s="35"/>
      <c r="AI133" s="35"/>
      <c r="AJ133" s="35"/>
      <c r="AK133" s="11"/>
      <c r="AL133" s="33">
        <f t="shared" si="9"/>
        <v>8478.84</v>
      </c>
    </row>
    <row r="134" spans="2:38" ht="30.2" customHeight="1" x14ac:dyDescent="0.25">
      <c r="B134" s="26">
        <v>21401</v>
      </c>
      <c r="C134" s="61" t="s">
        <v>152</v>
      </c>
      <c r="D134" s="26">
        <v>0</v>
      </c>
      <c r="E134" s="49">
        <v>8</v>
      </c>
      <c r="F134" s="63" t="s">
        <v>49</v>
      </c>
      <c r="G134" s="64" t="s">
        <v>42</v>
      </c>
      <c r="H134" s="28" t="s">
        <v>43</v>
      </c>
      <c r="I134" s="153" t="s">
        <v>44</v>
      </c>
      <c r="J134" s="154"/>
      <c r="K134" s="65">
        <v>1827</v>
      </c>
      <c r="L134" s="29">
        <f t="shared" si="12"/>
        <v>14616</v>
      </c>
      <c r="M134" s="34"/>
      <c r="N134" s="35"/>
      <c r="O134" s="35"/>
      <c r="P134" s="35"/>
      <c r="Q134" s="35"/>
      <c r="R134" s="35"/>
      <c r="S134" s="35"/>
      <c r="T134" s="14">
        <v>4</v>
      </c>
      <c r="U134" s="31">
        <f t="shared" si="14"/>
        <v>7308</v>
      </c>
      <c r="V134" s="31"/>
      <c r="W134" s="35"/>
      <c r="X134" s="34"/>
      <c r="Y134" s="35"/>
      <c r="Z134" s="34"/>
      <c r="AA134" s="35"/>
      <c r="AB134" s="34">
        <v>4</v>
      </c>
      <c r="AC134" s="31">
        <f t="shared" si="13"/>
        <v>7308</v>
      </c>
      <c r="AD134" s="35"/>
      <c r="AE134" s="35"/>
      <c r="AF134" s="35"/>
      <c r="AG134" s="35"/>
      <c r="AH134" s="35"/>
      <c r="AI134" s="35"/>
      <c r="AJ134" s="35"/>
      <c r="AK134" s="11"/>
      <c r="AL134" s="33">
        <f t="shared" si="9"/>
        <v>14616</v>
      </c>
    </row>
    <row r="135" spans="2:38" ht="36.75" customHeight="1" x14ac:dyDescent="0.25">
      <c r="B135" s="26">
        <v>21401</v>
      </c>
      <c r="C135" s="25" t="s">
        <v>153</v>
      </c>
      <c r="D135" s="26">
        <v>0</v>
      </c>
      <c r="E135" s="14">
        <v>10</v>
      </c>
      <c r="F135" s="12" t="s">
        <v>49</v>
      </c>
      <c r="G135" s="27" t="s">
        <v>42</v>
      </c>
      <c r="H135" s="28" t="s">
        <v>43</v>
      </c>
      <c r="I135" s="143" t="s">
        <v>44</v>
      </c>
      <c r="J135" s="144"/>
      <c r="K135" s="36">
        <v>318.41000000000003</v>
      </c>
      <c r="L135" s="29">
        <f t="shared" si="12"/>
        <v>3184.1000000000004</v>
      </c>
      <c r="M135" s="66"/>
      <c r="N135" s="35"/>
      <c r="O135" s="35"/>
      <c r="P135" s="35"/>
      <c r="Q135" s="35"/>
      <c r="R135" s="35"/>
      <c r="S135" s="35"/>
      <c r="T135" s="14">
        <v>5</v>
      </c>
      <c r="U135" s="31">
        <f t="shared" si="14"/>
        <v>1592.0500000000002</v>
      </c>
      <c r="V135" s="31"/>
      <c r="W135" s="35"/>
      <c r="X135" s="34"/>
      <c r="Y135" s="35"/>
      <c r="Z135" s="34"/>
      <c r="AA135" s="35"/>
      <c r="AB135" s="34">
        <v>5</v>
      </c>
      <c r="AC135" s="31">
        <f t="shared" si="13"/>
        <v>1592.0500000000002</v>
      </c>
      <c r="AD135" s="35"/>
      <c r="AE135" s="35"/>
      <c r="AF135" s="35"/>
      <c r="AG135" s="35"/>
      <c r="AH135" s="35"/>
      <c r="AI135" s="35"/>
      <c r="AJ135" s="35"/>
      <c r="AK135" s="11"/>
      <c r="AL135" s="33">
        <f t="shared" si="9"/>
        <v>3184.1000000000004</v>
      </c>
    </row>
    <row r="136" spans="2:38" ht="33.75" customHeight="1" x14ac:dyDescent="0.25">
      <c r="B136" s="26">
        <v>21401</v>
      </c>
      <c r="C136" s="25" t="s">
        <v>154</v>
      </c>
      <c r="D136" s="26">
        <v>0</v>
      </c>
      <c r="E136" s="14">
        <v>10</v>
      </c>
      <c r="F136" s="12" t="s">
        <v>49</v>
      </c>
      <c r="G136" s="27" t="s">
        <v>42</v>
      </c>
      <c r="H136" s="28" t="s">
        <v>43</v>
      </c>
      <c r="I136" s="143" t="s">
        <v>44</v>
      </c>
      <c r="J136" s="144"/>
      <c r="K136" s="36">
        <v>318.41000000000003</v>
      </c>
      <c r="L136" s="29">
        <f t="shared" si="12"/>
        <v>3184.1000000000004</v>
      </c>
      <c r="M136" s="66"/>
      <c r="N136" s="35"/>
      <c r="O136" s="35"/>
      <c r="P136" s="35"/>
      <c r="Q136" s="35"/>
      <c r="R136" s="35"/>
      <c r="S136" s="35"/>
      <c r="T136" s="14">
        <v>5</v>
      </c>
      <c r="U136" s="31">
        <f t="shared" si="14"/>
        <v>1592.0500000000002</v>
      </c>
      <c r="V136" s="31"/>
      <c r="W136" s="35"/>
      <c r="X136" s="34"/>
      <c r="Y136" s="35"/>
      <c r="Z136" s="34"/>
      <c r="AA136" s="35"/>
      <c r="AB136" s="34">
        <v>5</v>
      </c>
      <c r="AC136" s="31">
        <f t="shared" si="13"/>
        <v>1592.0500000000002</v>
      </c>
      <c r="AD136" s="35"/>
      <c r="AE136" s="35"/>
      <c r="AF136" s="35"/>
      <c r="AG136" s="35"/>
      <c r="AH136" s="35"/>
      <c r="AI136" s="35"/>
      <c r="AJ136" s="35"/>
      <c r="AK136" s="11"/>
      <c r="AL136" s="33">
        <f t="shared" si="9"/>
        <v>3184.1000000000004</v>
      </c>
    </row>
    <row r="137" spans="2:38" ht="33" customHeight="1" x14ac:dyDescent="0.25">
      <c r="B137" s="26">
        <v>21401</v>
      </c>
      <c r="C137" s="25" t="s">
        <v>155</v>
      </c>
      <c r="D137" s="26">
        <v>0</v>
      </c>
      <c r="E137" s="14">
        <v>10</v>
      </c>
      <c r="F137" s="12" t="s">
        <v>49</v>
      </c>
      <c r="G137" s="27" t="s">
        <v>42</v>
      </c>
      <c r="H137" s="28" t="s">
        <v>43</v>
      </c>
      <c r="I137" s="143" t="s">
        <v>44</v>
      </c>
      <c r="J137" s="144"/>
      <c r="K137" s="36">
        <v>318.41000000000003</v>
      </c>
      <c r="L137" s="29">
        <f t="shared" si="12"/>
        <v>3184.1000000000004</v>
      </c>
      <c r="M137" s="66"/>
      <c r="N137" s="35"/>
      <c r="O137" s="35"/>
      <c r="P137" s="35"/>
      <c r="Q137" s="35"/>
      <c r="R137" s="35"/>
      <c r="S137" s="35"/>
      <c r="T137" s="14">
        <v>5</v>
      </c>
      <c r="U137" s="31">
        <f t="shared" si="14"/>
        <v>1592.0500000000002</v>
      </c>
      <c r="V137" s="31"/>
      <c r="W137" s="35"/>
      <c r="X137" s="34"/>
      <c r="Y137" s="35"/>
      <c r="Z137" s="34"/>
      <c r="AA137" s="35"/>
      <c r="AB137" s="34">
        <v>5</v>
      </c>
      <c r="AC137" s="31">
        <f t="shared" si="13"/>
        <v>1592.0500000000002</v>
      </c>
      <c r="AD137" s="35"/>
      <c r="AE137" s="35"/>
      <c r="AF137" s="35"/>
      <c r="AG137" s="35"/>
      <c r="AH137" s="35"/>
      <c r="AI137" s="35"/>
      <c r="AJ137" s="35"/>
      <c r="AK137" s="11"/>
      <c r="AL137" s="33">
        <f t="shared" si="9"/>
        <v>3184.1000000000004</v>
      </c>
    </row>
    <row r="138" spans="2:38" ht="33.75" customHeight="1" x14ac:dyDescent="0.25">
      <c r="B138" s="26">
        <v>21401</v>
      </c>
      <c r="C138" s="25" t="s">
        <v>156</v>
      </c>
      <c r="D138" s="26">
        <v>0</v>
      </c>
      <c r="E138" s="14">
        <v>10</v>
      </c>
      <c r="F138" s="12" t="s">
        <v>49</v>
      </c>
      <c r="G138" s="27" t="s">
        <v>42</v>
      </c>
      <c r="H138" s="28" t="s">
        <v>43</v>
      </c>
      <c r="I138" s="143" t="s">
        <v>44</v>
      </c>
      <c r="J138" s="144"/>
      <c r="K138" s="36">
        <v>318.41000000000003</v>
      </c>
      <c r="L138" s="29">
        <f t="shared" si="12"/>
        <v>3184.1000000000004</v>
      </c>
      <c r="M138" s="66"/>
      <c r="N138" s="35"/>
      <c r="O138" s="35"/>
      <c r="P138" s="35"/>
      <c r="Q138" s="35"/>
      <c r="R138" s="35"/>
      <c r="S138" s="35"/>
      <c r="T138" s="14">
        <v>5</v>
      </c>
      <c r="U138" s="31">
        <f t="shared" si="14"/>
        <v>1592.0500000000002</v>
      </c>
      <c r="V138" s="31"/>
      <c r="W138" s="35"/>
      <c r="X138" s="34"/>
      <c r="Y138" s="35"/>
      <c r="Z138" s="34"/>
      <c r="AA138" s="35"/>
      <c r="AB138" s="34">
        <v>5</v>
      </c>
      <c r="AC138" s="31">
        <f t="shared" si="13"/>
        <v>1592.0500000000002</v>
      </c>
      <c r="AD138" s="35"/>
      <c r="AE138" s="35"/>
      <c r="AF138" s="35"/>
      <c r="AG138" s="35"/>
      <c r="AH138" s="35"/>
      <c r="AI138" s="35"/>
      <c r="AJ138" s="35"/>
      <c r="AK138" s="11"/>
      <c r="AL138" s="33">
        <f t="shared" si="9"/>
        <v>3184.1000000000004</v>
      </c>
    </row>
    <row r="139" spans="2:38" ht="57.75" x14ac:dyDescent="0.25">
      <c r="B139" s="14">
        <v>21401</v>
      </c>
      <c r="C139" s="39" t="s">
        <v>157</v>
      </c>
      <c r="D139" s="26">
        <v>0</v>
      </c>
      <c r="E139" s="49">
        <v>50</v>
      </c>
      <c r="F139" s="14" t="s">
        <v>49</v>
      </c>
      <c r="G139" s="27" t="s">
        <v>89</v>
      </c>
      <c r="H139" s="28" t="s">
        <v>43</v>
      </c>
      <c r="I139" s="143" t="s">
        <v>44</v>
      </c>
      <c r="J139" s="144"/>
      <c r="K139" s="17">
        <v>70</v>
      </c>
      <c r="L139" s="17">
        <f t="shared" si="12"/>
        <v>3500</v>
      </c>
      <c r="M139" s="40"/>
      <c r="N139" s="41"/>
      <c r="O139" s="41"/>
      <c r="P139" s="41"/>
      <c r="Q139" s="41"/>
      <c r="R139" s="41"/>
      <c r="S139" s="41"/>
      <c r="T139" s="14">
        <v>10</v>
      </c>
      <c r="U139" s="31">
        <f t="shared" si="14"/>
        <v>700</v>
      </c>
      <c r="V139" s="41"/>
      <c r="W139" s="41"/>
      <c r="X139" s="43"/>
      <c r="Y139" s="41"/>
      <c r="Z139" s="43"/>
      <c r="AA139" s="41"/>
      <c r="AB139" s="34">
        <v>10</v>
      </c>
      <c r="AC139" s="31">
        <f t="shared" si="13"/>
        <v>700</v>
      </c>
      <c r="AD139" s="41"/>
      <c r="AE139" s="41"/>
      <c r="AF139" s="41">
        <f>E139/2</f>
        <v>25</v>
      </c>
      <c r="AG139" s="41">
        <f>AF139*K139</f>
        <v>1750</v>
      </c>
      <c r="AH139" s="41"/>
      <c r="AI139" s="41"/>
      <c r="AJ139" s="41"/>
      <c r="AK139" s="41"/>
      <c r="AL139" s="33">
        <f t="shared" si="9"/>
        <v>3150</v>
      </c>
    </row>
    <row r="140" spans="2:38" x14ac:dyDescent="0.25">
      <c r="B140" s="19">
        <v>21500</v>
      </c>
      <c r="C140" s="67"/>
      <c r="D140" s="19"/>
      <c r="E140" s="19"/>
      <c r="F140" s="19"/>
      <c r="G140" s="58"/>
      <c r="H140" s="68"/>
      <c r="I140" s="145"/>
      <c r="J140" s="146"/>
      <c r="K140" s="20"/>
      <c r="L140" s="20">
        <f>+L141+L142+L143+L144</f>
        <v>1553</v>
      </c>
      <c r="M140" s="40"/>
      <c r="N140" s="41"/>
      <c r="O140" s="41"/>
      <c r="P140" s="41"/>
      <c r="Q140" s="41"/>
      <c r="R140" s="41"/>
      <c r="S140" s="41"/>
      <c r="T140" s="43"/>
      <c r="U140" s="31"/>
      <c r="V140" s="41"/>
      <c r="W140" s="41"/>
      <c r="X140" s="43"/>
      <c r="Y140" s="41"/>
      <c r="Z140" s="43"/>
      <c r="AA140" s="41"/>
      <c r="AB140" s="43"/>
      <c r="AC140" s="41"/>
      <c r="AD140" s="41"/>
      <c r="AE140" s="41"/>
      <c r="AF140" s="41"/>
      <c r="AG140" s="41"/>
      <c r="AH140" s="41"/>
      <c r="AI140" s="41"/>
      <c r="AJ140" s="41"/>
      <c r="AK140" s="41"/>
      <c r="AL140" s="33"/>
    </row>
    <row r="141" spans="2:38" ht="57.75" x14ac:dyDescent="0.25">
      <c r="B141" s="26">
        <v>21501</v>
      </c>
      <c r="C141" s="119" t="s">
        <v>493</v>
      </c>
      <c r="D141" s="26"/>
      <c r="E141" s="26">
        <v>1</v>
      </c>
      <c r="F141" s="14" t="s">
        <v>49</v>
      </c>
      <c r="G141" s="27" t="s">
        <v>89</v>
      </c>
      <c r="H141" s="28" t="s">
        <v>43</v>
      </c>
      <c r="I141" s="143" t="s">
        <v>44</v>
      </c>
      <c r="J141" s="144"/>
      <c r="K141" s="81">
        <v>1</v>
      </c>
      <c r="L141" s="81">
        <f>+E141*K141</f>
        <v>1</v>
      </c>
      <c r="M141" s="40"/>
      <c r="N141" s="41"/>
      <c r="O141" s="41"/>
      <c r="P141" s="41"/>
      <c r="Q141" s="41"/>
      <c r="R141" s="41"/>
      <c r="S141" s="41"/>
      <c r="T141" s="43"/>
      <c r="U141" s="31"/>
      <c r="V141" s="41"/>
      <c r="W141" s="41"/>
      <c r="X141" s="43"/>
      <c r="Y141" s="41"/>
      <c r="Z141" s="43"/>
      <c r="AA141" s="41"/>
      <c r="AB141" s="43"/>
      <c r="AC141" s="41"/>
      <c r="AD141" s="41"/>
      <c r="AE141" s="41"/>
      <c r="AF141" s="41"/>
      <c r="AG141" s="41"/>
      <c r="AH141" s="41"/>
      <c r="AI141" s="41"/>
      <c r="AJ141" s="41"/>
      <c r="AK141" s="41"/>
      <c r="AL141" s="33"/>
    </row>
    <row r="142" spans="2:38" ht="57.75" x14ac:dyDescent="0.25">
      <c r="B142" s="14">
        <v>21502</v>
      </c>
      <c r="C142" s="119" t="s">
        <v>158</v>
      </c>
      <c r="D142" s="14">
        <v>0</v>
      </c>
      <c r="E142" s="49">
        <v>1</v>
      </c>
      <c r="F142" s="14" t="s">
        <v>546</v>
      </c>
      <c r="G142" s="27" t="s">
        <v>89</v>
      </c>
      <c r="H142" s="28" t="s">
        <v>43</v>
      </c>
      <c r="I142" s="143" t="s">
        <v>44</v>
      </c>
      <c r="J142" s="144"/>
      <c r="K142" s="17">
        <v>1550</v>
      </c>
      <c r="L142" s="17">
        <f t="shared" si="12"/>
        <v>1550</v>
      </c>
      <c r="M142" s="40"/>
      <c r="N142" s="41"/>
      <c r="O142" s="41"/>
      <c r="P142" s="41">
        <v>12</v>
      </c>
      <c r="Q142" s="41">
        <f>P142*K142</f>
        <v>18600</v>
      </c>
      <c r="R142" s="41"/>
      <c r="S142" s="41"/>
      <c r="T142" s="43"/>
      <c r="U142" s="31"/>
      <c r="V142" s="41"/>
      <c r="W142" s="41"/>
      <c r="X142" s="43"/>
      <c r="Y142" s="41"/>
      <c r="Z142" s="43"/>
      <c r="AA142" s="41"/>
      <c r="AB142" s="43"/>
      <c r="AC142" s="41"/>
      <c r="AD142" s="41"/>
      <c r="AE142" s="41"/>
      <c r="AF142" s="41"/>
      <c r="AG142" s="41"/>
      <c r="AH142" s="41"/>
      <c r="AI142" s="41"/>
      <c r="AJ142" s="41"/>
      <c r="AK142" s="41"/>
      <c r="AL142" s="33">
        <f t="shared" si="9"/>
        <v>18600</v>
      </c>
    </row>
    <row r="143" spans="2:38" ht="57.75" x14ac:dyDescent="0.25">
      <c r="B143" s="26">
        <v>21503</v>
      </c>
      <c r="C143" s="119" t="s">
        <v>495</v>
      </c>
      <c r="D143" s="26"/>
      <c r="E143" s="26">
        <v>1</v>
      </c>
      <c r="F143" s="26" t="s">
        <v>49</v>
      </c>
      <c r="G143" s="62" t="s">
        <v>89</v>
      </c>
      <c r="H143" s="80" t="s">
        <v>43</v>
      </c>
      <c r="I143" s="151" t="s">
        <v>44</v>
      </c>
      <c r="J143" s="152"/>
      <c r="K143" s="81">
        <v>1</v>
      </c>
      <c r="L143" s="81">
        <f>+E143*K143</f>
        <v>1</v>
      </c>
      <c r="M143" s="40"/>
      <c r="N143" s="41"/>
      <c r="O143" s="41"/>
      <c r="P143" s="41"/>
      <c r="Q143" s="41"/>
      <c r="R143" s="41"/>
      <c r="S143" s="41"/>
      <c r="T143" s="43"/>
      <c r="U143" s="31"/>
      <c r="V143" s="41"/>
      <c r="W143" s="41"/>
      <c r="X143" s="43"/>
      <c r="Y143" s="41"/>
      <c r="Z143" s="43"/>
      <c r="AA143" s="41"/>
      <c r="AB143" s="43"/>
      <c r="AC143" s="41"/>
      <c r="AD143" s="41"/>
      <c r="AE143" s="41"/>
      <c r="AF143" s="41"/>
      <c r="AG143" s="41"/>
      <c r="AH143" s="41"/>
      <c r="AI143" s="41"/>
      <c r="AJ143" s="41"/>
      <c r="AK143" s="41"/>
      <c r="AL143" s="33"/>
    </row>
    <row r="144" spans="2:38" ht="57.75" x14ac:dyDescent="0.25">
      <c r="B144" s="26">
        <v>21504</v>
      </c>
      <c r="C144" s="119" t="s">
        <v>496</v>
      </c>
      <c r="D144" s="26"/>
      <c r="E144" s="26">
        <v>1</v>
      </c>
      <c r="F144" s="26" t="s">
        <v>49</v>
      </c>
      <c r="G144" s="62" t="s">
        <v>89</v>
      </c>
      <c r="H144" s="80" t="s">
        <v>43</v>
      </c>
      <c r="I144" s="151" t="s">
        <v>44</v>
      </c>
      <c r="J144" s="152"/>
      <c r="K144" s="81">
        <v>1</v>
      </c>
      <c r="L144" s="81">
        <f>+E144*K144</f>
        <v>1</v>
      </c>
      <c r="M144" s="40"/>
      <c r="N144" s="41"/>
      <c r="O144" s="41"/>
      <c r="P144" s="41"/>
      <c r="Q144" s="41"/>
      <c r="R144" s="41"/>
      <c r="S144" s="41"/>
      <c r="T144" s="43"/>
      <c r="U144" s="31"/>
      <c r="V144" s="41"/>
      <c r="W144" s="41"/>
      <c r="X144" s="43"/>
      <c r="Y144" s="41"/>
      <c r="Z144" s="43"/>
      <c r="AA144" s="41"/>
      <c r="AB144" s="43"/>
      <c r="AC144" s="41"/>
      <c r="AD144" s="41"/>
      <c r="AE144" s="41"/>
      <c r="AF144" s="41"/>
      <c r="AG144" s="41"/>
      <c r="AH144" s="41"/>
      <c r="AI144" s="41"/>
      <c r="AJ144" s="41"/>
      <c r="AK144" s="41"/>
      <c r="AL144" s="33"/>
    </row>
    <row r="145" spans="2:38" x14ac:dyDescent="0.25">
      <c r="B145" s="19">
        <v>21600</v>
      </c>
      <c r="C145" s="19"/>
      <c r="D145" s="19"/>
      <c r="E145" s="19"/>
      <c r="F145" s="19"/>
      <c r="G145" s="19"/>
      <c r="H145" s="68"/>
      <c r="I145" s="147"/>
      <c r="J145" s="148"/>
      <c r="K145" s="20"/>
      <c r="L145" s="21">
        <f>L146+L171+L174</f>
        <v>339137.59559999994</v>
      </c>
      <c r="M145" s="60">
        <f>M146+M171+M174</f>
        <v>135001</v>
      </c>
      <c r="N145" s="41"/>
      <c r="O145" s="41"/>
      <c r="P145" s="41"/>
      <c r="Q145" s="41"/>
      <c r="R145" s="41"/>
      <c r="S145" s="41"/>
      <c r="T145" s="43"/>
      <c r="U145" s="31"/>
      <c r="V145" s="41"/>
      <c r="W145" s="41"/>
      <c r="X145" s="43"/>
      <c r="Y145" s="41"/>
      <c r="Z145" s="43"/>
      <c r="AA145" s="41"/>
      <c r="AB145" s="43"/>
      <c r="AC145" s="41"/>
      <c r="AD145" s="41"/>
      <c r="AE145" s="41"/>
      <c r="AF145" s="41"/>
      <c r="AG145" s="41"/>
      <c r="AH145" s="41"/>
      <c r="AI145" s="41"/>
      <c r="AJ145" s="41"/>
      <c r="AK145" s="41"/>
      <c r="AL145" s="33"/>
    </row>
    <row r="146" spans="2:38" x14ac:dyDescent="0.25">
      <c r="B146" s="19">
        <v>21601</v>
      </c>
      <c r="C146" s="19"/>
      <c r="D146" s="19"/>
      <c r="E146" s="19"/>
      <c r="F146" s="19"/>
      <c r="G146" s="19"/>
      <c r="H146" s="68"/>
      <c r="I146" s="147"/>
      <c r="J146" s="148"/>
      <c r="K146" s="20"/>
      <c r="L146" s="21">
        <f>SUM(L147:L170)</f>
        <v>186310.01559999998</v>
      </c>
      <c r="M146" s="44">
        <v>60000</v>
      </c>
      <c r="N146" s="41"/>
      <c r="O146" s="41"/>
      <c r="P146" s="41"/>
      <c r="Q146" s="41"/>
      <c r="R146" s="41"/>
      <c r="S146" s="41"/>
      <c r="T146" s="43"/>
      <c r="U146" s="31"/>
      <c r="V146" s="41"/>
      <c r="W146" s="41"/>
      <c r="X146" s="43"/>
      <c r="Y146" s="41"/>
      <c r="Z146" s="43"/>
      <c r="AA146" s="41"/>
      <c r="AB146" s="43"/>
      <c r="AC146" s="41"/>
      <c r="AD146" s="41"/>
      <c r="AE146" s="41"/>
      <c r="AF146" s="41"/>
      <c r="AG146" s="41"/>
      <c r="AH146" s="41"/>
      <c r="AI146" s="41"/>
      <c r="AJ146" s="41"/>
      <c r="AK146" s="41"/>
      <c r="AL146" s="33"/>
    </row>
    <row r="147" spans="2:38" ht="36" customHeight="1" x14ac:dyDescent="0.25">
      <c r="B147" s="14">
        <v>21601</v>
      </c>
      <c r="C147" s="61" t="s">
        <v>159</v>
      </c>
      <c r="D147" s="14">
        <v>0</v>
      </c>
      <c r="E147" s="26">
        <v>1</v>
      </c>
      <c r="F147" s="14" t="s">
        <v>546</v>
      </c>
      <c r="G147" s="27" t="s">
        <v>42</v>
      </c>
      <c r="H147" s="28" t="s">
        <v>43</v>
      </c>
      <c r="I147" s="143" t="s">
        <v>44</v>
      </c>
      <c r="J147" s="144"/>
      <c r="K147" s="36">
        <v>66138.759999999995</v>
      </c>
      <c r="L147" s="29">
        <f t="shared" ref="L147:L170" si="15">E147*K147</f>
        <v>66138.759999999995</v>
      </c>
      <c r="M147" s="34"/>
      <c r="N147" s="35"/>
      <c r="O147" s="35"/>
      <c r="P147" s="35"/>
      <c r="Q147" s="35"/>
      <c r="R147" s="35"/>
      <c r="S147" s="35"/>
      <c r="T147" s="14">
        <v>90</v>
      </c>
      <c r="U147" s="31">
        <f t="shared" si="14"/>
        <v>5952488.3999999994</v>
      </c>
      <c r="V147" s="31"/>
      <c r="W147" s="35"/>
      <c r="X147" s="34"/>
      <c r="Y147" s="35"/>
      <c r="Z147" s="34"/>
      <c r="AA147" s="35"/>
      <c r="AB147" s="34"/>
      <c r="AC147" s="35"/>
      <c r="AD147" s="35"/>
      <c r="AE147" s="35"/>
      <c r="AF147" s="35"/>
      <c r="AG147" s="35"/>
      <c r="AH147" s="35"/>
      <c r="AI147" s="35"/>
      <c r="AJ147" s="35"/>
      <c r="AK147" s="11"/>
      <c r="AL147" s="33">
        <f t="shared" si="9"/>
        <v>5952488.3999999994</v>
      </c>
    </row>
    <row r="148" spans="2:38" ht="30.2" customHeight="1" x14ac:dyDescent="0.25">
      <c r="B148" s="14">
        <v>21601</v>
      </c>
      <c r="C148" s="61" t="s">
        <v>160</v>
      </c>
      <c r="D148" s="14">
        <v>0</v>
      </c>
      <c r="E148" s="26">
        <v>1</v>
      </c>
      <c r="F148" s="14" t="s">
        <v>546</v>
      </c>
      <c r="G148" s="27" t="s">
        <v>42</v>
      </c>
      <c r="H148" s="28" t="s">
        <v>43</v>
      </c>
      <c r="I148" s="143" t="s">
        <v>44</v>
      </c>
      <c r="J148" s="144"/>
      <c r="K148" s="36">
        <v>63678.16</v>
      </c>
      <c r="L148" s="29">
        <f t="shared" si="15"/>
        <v>63678.16</v>
      </c>
      <c r="M148" s="34"/>
      <c r="N148" s="35"/>
      <c r="O148" s="35"/>
      <c r="P148" s="35"/>
      <c r="Q148" s="35"/>
      <c r="R148" s="35"/>
      <c r="S148" s="35"/>
      <c r="T148" s="14">
        <v>100</v>
      </c>
      <c r="U148" s="31">
        <f t="shared" si="14"/>
        <v>6367816</v>
      </c>
      <c r="V148" s="31"/>
      <c r="W148" s="35"/>
      <c r="X148" s="34"/>
      <c r="Y148" s="35"/>
      <c r="Z148" s="34"/>
      <c r="AA148" s="35"/>
      <c r="AB148" s="34"/>
      <c r="AC148" s="35"/>
      <c r="AD148" s="35"/>
      <c r="AE148" s="35"/>
      <c r="AF148" s="35"/>
      <c r="AG148" s="35"/>
      <c r="AH148" s="35"/>
      <c r="AI148" s="35"/>
      <c r="AJ148" s="35"/>
      <c r="AK148" s="11"/>
      <c r="AL148" s="33">
        <f t="shared" si="9"/>
        <v>6367816</v>
      </c>
    </row>
    <row r="149" spans="2:38" ht="57.75" x14ac:dyDescent="0.25">
      <c r="B149" s="14">
        <v>21601</v>
      </c>
      <c r="C149" s="25" t="s">
        <v>161</v>
      </c>
      <c r="D149" s="14">
        <v>0</v>
      </c>
      <c r="E149" s="26">
        <v>60</v>
      </c>
      <c r="F149" s="14" t="s">
        <v>49</v>
      </c>
      <c r="G149" s="27" t="s">
        <v>42</v>
      </c>
      <c r="H149" s="28" t="s">
        <v>43</v>
      </c>
      <c r="I149" s="143" t="s">
        <v>44</v>
      </c>
      <c r="J149" s="144"/>
      <c r="K149" s="36">
        <v>27</v>
      </c>
      <c r="L149" s="29">
        <f t="shared" si="15"/>
        <v>1620</v>
      </c>
      <c r="M149" s="34"/>
      <c r="N149" s="35"/>
      <c r="O149" s="35"/>
      <c r="P149" s="35"/>
      <c r="Q149" s="35"/>
      <c r="R149" s="35"/>
      <c r="S149" s="35"/>
      <c r="T149" s="14">
        <v>30</v>
      </c>
      <c r="U149" s="31">
        <f t="shared" si="14"/>
        <v>810</v>
      </c>
      <c r="V149" s="31"/>
      <c r="W149" s="35"/>
      <c r="X149" s="34"/>
      <c r="Y149" s="35"/>
      <c r="Z149" s="34"/>
      <c r="AA149" s="35"/>
      <c r="AB149" s="34"/>
      <c r="AC149" s="35"/>
      <c r="AD149" s="35"/>
      <c r="AE149" s="35"/>
      <c r="AF149" s="35"/>
      <c r="AG149" s="35"/>
      <c r="AH149" s="35"/>
      <c r="AI149" s="35"/>
      <c r="AJ149" s="35"/>
      <c r="AK149" s="11"/>
      <c r="AL149" s="33">
        <f t="shared" si="9"/>
        <v>810</v>
      </c>
    </row>
    <row r="150" spans="2:38" ht="32.25" customHeight="1" x14ac:dyDescent="0.25">
      <c r="B150" s="14">
        <v>21601</v>
      </c>
      <c r="C150" s="25" t="s">
        <v>162</v>
      </c>
      <c r="D150" s="14">
        <v>0</v>
      </c>
      <c r="E150" s="26">
        <v>60</v>
      </c>
      <c r="F150" s="14" t="s">
        <v>49</v>
      </c>
      <c r="G150" s="27" t="s">
        <v>42</v>
      </c>
      <c r="H150" s="28" t="s">
        <v>43</v>
      </c>
      <c r="I150" s="143" t="s">
        <v>44</v>
      </c>
      <c r="J150" s="144"/>
      <c r="K150" s="38">
        <f>70*1.1</f>
        <v>77</v>
      </c>
      <c r="L150" s="29">
        <f t="shared" si="15"/>
        <v>4620</v>
      </c>
      <c r="M150" s="34"/>
      <c r="N150" s="35"/>
      <c r="O150" s="35"/>
      <c r="P150" s="35"/>
      <c r="Q150" s="35"/>
      <c r="R150" s="35"/>
      <c r="S150" s="35"/>
      <c r="T150" s="14">
        <v>30</v>
      </c>
      <c r="U150" s="31">
        <f t="shared" si="14"/>
        <v>2310</v>
      </c>
      <c r="V150" s="31"/>
      <c r="W150" s="35"/>
      <c r="X150" s="34"/>
      <c r="Y150" s="35"/>
      <c r="Z150" s="34"/>
      <c r="AA150" s="35"/>
      <c r="AB150" s="34"/>
      <c r="AC150" s="35"/>
      <c r="AD150" s="35"/>
      <c r="AE150" s="35"/>
      <c r="AF150" s="35"/>
      <c r="AG150" s="35"/>
      <c r="AH150" s="35"/>
      <c r="AI150" s="35"/>
      <c r="AJ150" s="35"/>
      <c r="AK150" s="11"/>
      <c r="AL150" s="33">
        <f t="shared" si="9"/>
        <v>2310</v>
      </c>
    </row>
    <row r="151" spans="2:38" ht="30.2" customHeight="1" x14ac:dyDescent="0.25">
      <c r="B151" s="14">
        <v>21601</v>
      </c>
      <c r="C151" s="25" t="s">
        <v>163</v>
      </c>
      <c r="D151" s="14">
        <v>0</v>
      </c>
      <c r="E151" s="26">
        <v>150</v>
      </c>
      <c r="F151" s="14" t="s">
        <v>49</v>
      </c>
      <c r="G151" s="27" t="s">
        <v>42</v>
      </c>
      <c r="H151" s="28" t="s">
        <v>43</v>
      </c>
      <c r="I151" s="143" t="s">
        <v>44</v>
      </c>
      <c r="J151" s="144"/>
      <c r="K151" s="36">
        <v>16.600000000000001</v>
      </c>
      <c r="L151" s="29">
        <f t="shared" si="15"/>
        <v>2490</v>
      </c>
      <c r="M151" s="34"/>
      <c r="N151" s="35"/>
      <c r="O151" s="35"/>
      <c r="P151" s="35"/>
      <c r="Q151" s="35"/>
      <c r="R151" s="35"/>
      <c r="S151" s="35"/>
      <c r="T151" s="14">
        <v>75</v>
      </c>
      <c r="U151" s="31">
        <f t="shared" si="14"/>
        <v>1245</v>
      </c>
      <c r="V151" s="31"/>
      <c r="W151" s="35"/>
      <c r="X151" s="34"/>
      <c r="Y151" s="35"/>
      <c r="Z151" s="34"/>
      <c r="AA151" s="35"/>
      <c r="AB151" s="34"/>
      <c r="AC151" s="35"/>
      <c r="AD151" s="35"/>
      <c r="AE151" s="35"/>
      <c r="AF151" s="35"/>
      <c r="AG151" s="35"/>
      <c r="AH151" s="35"/>
      <c r="AI151" s="35"/>
      <c r="AJ151" s="35"/>
      <c r="AK151" s="11"/>
      <c r="AL151" s="33">
        <f t="shared" si="9"/>
        <v>1245</v>
      </c>
    </row>
    <row r="152" spans="2:38" ht="30.2" customHeight="1" x14ac:dyDescent="0.25">
      <c r="B152" s="14">
        <v>21601</v>
      </c>
      <c r="C152" s="25" t="s">
        <v>164</v>
      </c>
      <c r="D152" s="14">
        <v>0</v>
      </c>
      <c r="E152" s="26">
        <v>59</v>
      </c>
      <c r="F152" s="14" t="s">
        <v>49</v>
      </c>
      <c r="G152" s="27" t="s">
        <v>42</v>
      </c>
      <c r="H152" s="28" t="s">
        <v>43</v>
      </c>
      <c r="I152" s="143" t="s">
        <v>44</v>
      </c>
      <c r="J152" s="144"/>
      <c r="K152" s="36">
        <v>60.15</v>
      </c>
      <c r="L152" s="29">
        <f t="shared" si="15"/>
        <v>3548.85</v>
      </c>
      <c r="M152" s="34"/>
      <c r="N152" s="35"/>
      <c r="O152" s="35"/>
      <c r="P152" s="35"/>
      <c r="Q152" s="35"/>
      <c r="R152" s="35"/>
      <c r="S152" s="35"/>
      <c r="T152" s="14">
        <v>30</v>
      </c>
      <c r="U152" s="31">
        <f t="shared" si="14"/>
        <v>1804.5</v>
      </c>
      <c r="V152" s="31"/>
      <c r="W152" s="35"/>
      <c r="X152" s="34"/>
      <c r="Y152" s="35"/>
      <c r="Z152" s="34"/>
      <c r="AA152" s="35"/>
      <c r="AB152" s="34"/>
      <c r="AC152" s="35"/>
      <c r="AD152" s="35"/>
      <c r="AE152" s="35"/>
      <c r="AF152" s="35"/>
      <c r="AG152" s="35"/>
      <c r="AH152" s="35"/>
      <c r="AI152" s="35"/>
      <c r="AJ152" s="35"/>
      <c r="AK152" s="11"/>
      <c r="AL152" s="33">
        <f t="shared" si="9"/>
        <v>1804.5</v>
      </c>
    </row>
    <row r="153" spans="2:38" ht="57.75" x14ac:dyDescent="0.25">
      <c r="B153" s="14">
        <v>21601</v>
      </c>
      <c r="C153" s="25" t="s">
        <v>165</v>
      </c>
      <c r="D153" s="14">
        <v>0</v>
      </c>
      <c r="E153" s="26">
        <v>51</v>
      </c>
      <c r="F153" s="14" t="s">
        <v>49</v>
      </c>
      <c r="G153" s="27" t="s">
        <v>42</v>
      </c>
      <c r="H153" s="28" t="s">
        <v>43</v>
      </c>
      <c r="I153" s="143" t="s">
        <v>44</v>
      </c>
      <c r="J153" s="144"/>
      <c r="K153" s="36">
        <v>38</v>
      </c>
      <c r="L153" s="29">
        <f t="shared" si="15"/>
        <v>1938</v>
      </c>
      <c r="M153" s="34"/>
      <c r="N153" s="35"/>
      <c r="O153" s="35"/>
      <c r="P153" s="35"/>
      <c r="Q153" s="35"/>
      <c r="R153" s="35"/>
      <c r="S153" s="35"/>
      <c r="T153" s="14">
        <v>26</v>
      </c>
      <c r="U153" s="31">
        <f t="shared" si="14"/>
        <v>988</v>
      </c>
      <c r="V153" s="31"/>
      <c r="W153" s="35"/>
      <c r="X153" s="34"/>
      <c r="Y153" s="35"/>
      <c r="Z153" s="34"/>
      <c r="AA153" s="35"/>
      <c r="AB153" s="34"/>
      <c r="AC153" s="35"/>
      <c r="AD153" s="35"/>
      <c r="AE153" s="35"/>
      <c r="AF153" s="35"/>
      <c r="AG153" s="35"/>
      <c r="AH153" s="35"/>
      <c r="AI153" s="35"/>
      <c r="AJ153" s="35"/>
      <c r="AK153" s="11"/>
      <c r="AL153" s="33">
        <f t="shared" si="9"/>
        <v>988</v>
      </c>
    </row>
    <row r="154" spans="2:38" ht="30.2" customHeight="1" x14ac:dyDescent="0.25">
      <c r="B154" s="14">
        <v>21601</v>
      </c>
      <c r="C154" s="25" t="s">
        <v>166</v>
      </c>
      <c r="D154" s="14">
        <v>0</v>
      </c>
      <c r="E154" s="26">
        <v>30</v>
      </c>
      <c r="F154" s="14" t="s">
        <v>49</v>
      </c>
      <c r="G154" s="27" t="s">
        <v>42</v>
      </c>
      <c r="H154" s="28" t="s">
        <v>43</v>
      </c>
      <c r="I154" s="143" t="s">
        <v>44</v>
      </c>
      <c r="J154" s="144"/>
      <c r="K154" s="38">
        <v>16.600000000000001</v>
      </c>
      <c r="L154" s="29">
        <f t="shared" si="15"/>
        <v>498.00000000000006</v>
      </c>
      <c r="M154" s="34"/>
      <c r="N154" s="35"/>
      <c r="O154" s="35"/>
      <c r="P154" s="35"/>
      <c r="Q154" s="35"/>
      <c r="R154" s="35"/>
      <c r="S154" s="35"/>
      <c r="T154" s="14">
        <v>15</v>
      </c>
      <c r="U154" s="31">
        <f t="shared" si="14"/>
        <v>249.00000000000003</v>
      </c>
      <c r="V154" s="31"/>
      <c r="W154" s="35"/>
      <c r="X154" s="34"/>
      <c r="Y154" s="35"/>
      <c r="Z154" s="34"/>
      <c r="AA154" s="35"/>
      <c r="AB154" s="34"/>
      <c r="AC154" s="35"/>
      <c r="AD154" s="35"/>
      <c r="AE154" s="35"/>
      <c r="AF154" s="35"/>
      <c r="AG154" s="35"/>
      <c r="AH154" s="35"/>
      <c r="AI154" s="35"/>
      <c r="AJ154" s="35"/>
      <c r="AK154" s="11"/>
      <c r="AL154" s="33">
        <f t="shared" ref="AL154:AL220" si="16">O154+Q154+S154+U154+W154+Y154+AA154+AC154+AE154+AG154+AI154+AK154</f>
        <v>249.00000000000003</v>
      </c>
    </row>
    <row r="155" spans="2:38" ht="30.2" customHeight="1" x14ac:dyDescent="0.25">
      <c r="B155" s="14">
        <v>21601</v>
      </c>
      <c r="C155" s="39" t="s">
        <v>167</v>
      </c>
      <c r="D155" s="14">
        <v>0</v>
      </c>
      <c r="E155" s="26">
        <v>60</v>
      </c>
      <c r="F155" s="14" t="s">
        <v>49</v>
      </c>
      <c r="G155" s="27" t="s">
        <v>42</v>
      </c>
      <c r="H155" s="28" t="s">
        <v>43</v>
      </c>
      <c r="I155" s="143" t="s">
        <v>44</v>
      </c>
      <c r="J155" s="144"/>
      <c r="K155" s="36">
        <f>30.72*1.16*(1.05)</f>
        <v>37.416959999999996</v>
      </c>
      <c r="L155" s="29">
        <f t="shared" si="15"/>
        <v>2245.0175999999997</v>
      </c>
      <c r="M155" s="34"/>
      <c r="N155" s="35"/>
      <c r="O155" s="35"/>
      <c r="P155" s="35"/>
      <c r="Q155" s="35"/>
      <c r="R155" s="35"/>
      <c r="S155" s="35"/>
      <c r="T155" s="14">
        <v>30</v>
      </c>
      <c r="U155" s="31">
        <f t="shared" si="14"/>
        <v>1122.5087999999998</v>
      </c>
      <c r="V155" s="31"/>
      <c r="W155" s="35"/>
      <c r="X155" s="34"/>
      <c r="Y155" s="35"/>
      <c r="Z155" s="34"/>
      <c r="AA155" s="35"/>
      <c r="AB155" s="34"/>
      <c r="AC155" s="35"/>
      <c r="AD155" s="35"/>
      <c r="AE155" s="35"/>
      <c r="AF155" s="35"/>
      <c r="AG155" s="35"/>
      <c r="AH155" s="35"/>
      <c r="AI155" s="35"/>
      <c r="AJ155" s="35"/>
      <c r="AK155" s="11"/>
      <c r="AL155" s="33">
        <f t="shared" si="16"/>
        <v>1122.5087999999998</v>
      </c>
    </row>
    <row r="156" spans="2:38" ht="30.2" customHeight="1" x14ac:dyDescent="0.25">
      <c r="B156" s="14">
        <v>21601</v>
      </c>
      <c r="C156" s="39" t="s">
        <v>168</v>
      </c>
      <c r="D156" s="14">
        <v>0</v>
      </c>
      <c r="E156" s="26">
        <v>20</v>
      </c>
      <c r="F156" s="14" t="s">
        <v>49</v>
      </c>
      <c r="G156" s="27" t="s">
        <v>42</v>
      </c>
      <c r="H156" s="28" t="s">
        <v>43</v>
      </c>
      <c r="I156" s="143" t="s">
        <v>44</v>
      </c>
      <c r="J156" s="144"/>
      <c r="K156" s="38">
        <f>14.44*1.1</f>
        <v>15.884</v>
      </c>
      <c r="L156" s="29">
        <f t="shared" si="15"/>
        <v>317.68</v>
      </c>
      <c r="M156" s="34"/>
      <c r="N156" s="35"/>
      <c r="O156" s="35"/>
      <c r="P156" s="35"/>
      <c r="Q156" s="35"/>
      <c r="R156" s="35"/>
      <c r="S156" s="35"/>
      <c r="T156" s="14">
        <v>10</v>
      </c>
      <c r="U156" s="31">
        <f t="shared" si="14"/>
        <v>158.84</v>
      </c>
      <c r="V156" s="31"/>
      <c r="W156" s="35"/>
      <c r="X156" s="34"/>
      <c r="Y156" s="35"/>
      <c r="Z156" s="34"/>
      <c r="AA156" s="35"/>
      <c r="AB156" s="34"/>
      <c r="AC156" s="35"/>
      <c r="AD156" s="35"/>
      <c r="AE156" s="35"/>
      <c r="AF156" s="35"/>
      <c r="AG156" s="35"/>
      <c r="AH156" s="35"/>
      <c r="AI156" s="35"/>
      <c r="AJ156" s="35"/>
      <c r="AK156" s="11"/>
      <c r="AL156" s="33">
        <f t="shared" si="16"/>
        <v>158.84</v>
      </c>
    </row>
    <row r="157" spans="2:38" ht="30.2" customHeight="1" x14ac:dyDescent="0.25">
      <c r="B157" s="14">
        <v>21601</v>
      </c>
      <c r="C157" s="39" t="s">
        <v>169</v>
      </c>
      <c r="D157" s="14">
        <v>0</v>
      </c>
      <c r="E157" s="26">
        <v>50</v>
      </c>
      <c r="F157" s="14" t="s">
        <v>49</v>
      </c>
      <c r="G157" s="27" t="s">
        <v>42</v>
      </c>
      <c r="H157" s="28" t="s">
        <v>43</v>
      </c>
      <c r="I157" s="143" t="s">
        <v>44</v>
      </c>
      <c r="J157" s="144"/>
      <c r="K157" s="38">
        <f>41.76*1.1</f>
        <v>45.936</v>
      </c>
      <c r="L157" s="29">
        <f t="shared" si="15"/>
        <v>2296.8000000000002</v>
      </c>
      <c r="M157" s="34"/>
      <c r="N157" s="35"/>
      <c r="O157" s="35"/>
      <c r="P157" s="35"/>
      <c r="Q157" s="35"/>
      <c r="R157" s="35"/>
      <c r="S157" s="35"/>
      <c r="T157" s="14">
        <v>25</v>
      </c>
      <c r="U157" s="31">
        <f t="shared" si="14"/>
        <v>1148.4000000000001</v>
      </c>
      <c r="V157" s="31"/>
      <c r="W157" s="35"/>
      <c r="X157" s="34"/>
      <c r="Y157" s="35"/>
      <c r="Z157" s="34"/>
      <c r="AA157" s="35"/>
      <c r="AB157" s="34"/>
      <c r="AC157" s="35"/>
      <c r="AD157" s="35"/>
      <c r="AE157" s="35"/>
      <c r="AF157" s="35"/>
      <c r="AG157" s="35"/>
      <c r="AH157" s="35"/>
      <c r="AI157" s="35"/>
      <c r="AJ157" s="35"/>
      <c r="AK157" s="11"/>
      <c r="AL157" s="33">
        <f t="shared" si="16"/>
        <v>1148.4000000000001</v>
      </c>
    </row>
    <row r="158" spans="2:38" ht="30.2" customHeight="1" x14ac:dyDescent="0.25">
      <c r="B158" s="14">
        <v>21601</v>
      </c>
      <c r="C158" s="25" t="s">
        <v>170</v>
      </c>
      <c r="D158" s="14">
        <v>0</v>
      </c>
      <c r="E158" s="26">
        <v>30</v>
      </c>
      <c r="F158" s="14" t="s">
        <v>49</v>
      </c>
      <c r="G158" s="27" t="s">
        <v>42</v>
      </c>
      <c r="H158" s="28" t="s">
        <v>43</v>
      </c>
      <c r="I158" s="143" t="s">
        <v>44</v>
      </c>
      <c r="J158" s="144"/>
      <c r="K158" s="38">
        <f>175*1.1</f>
        <v>192.50000000000003</v>
      </c>
      <c r="L158" s="29">
        <f t="shared" si="15"/>
        <v>5775.0000000000009</v>
      </c>
      <c r="M158" s="34"/>
      <c r="N158" s="35"/>
      <c r="O158" s="35"/>
      <c r="P158" s="35"/>
      <c r="Q158" s="35"/>
      <c r="R158" s="35"/>
      <c r="S158" s="35"/>
      <c r="T158" s="14">
        <v>15</v>
      </c>
      <c r="U158" s="31">
        <f t="shared" si="14"/>
        <v>2887.5000000000005</v>
      </c>
      <c r="V158" s="31"/>
      <c r="W158" s="35"/>
      <c r="X158" s="34"/>
      <c r="Y158" s="35"/>
      <c r="Z158" s="34"/>
      <c r="AA158" s="35"/>
      <c r="AB158" s="34"/>
      <c r="AC158" s="35"/>
      <c r="AD158" s="35"/>
      <c r="AE158" s="35"/>
      <c r="AF158" s="35"/>
      <c r="AG158" s="35"/>
      <c r="AH158" s="35"/>
      <c r="AI158" s="35"/>
      <c r="AJ158" s="35"/>
      <c r="AK158" s="11"/>
      <c r="AL158" s="33">
        <f t="shared" si="16"/>
        <v>2887.5000000000005</v>
      </c>
    </row>
    <row r="159" spans="2:38" ht="30.2" customHeight="1" x14ac:dyDescent="0.25">
      <c r="B159" s="14">
        <v>21601</v>
      </c>
      <c r="C159" s="39" t="s">
        <v>171</v>
      </c>
      <c r="D159" s="14">
        <v>0</v>
      </c>
      <c r="E159" s="26">
        <v>20</v>
      </c>
      <c r="F159" s="14" t="s">
        <v>49</v>
      </c>
      <c r="G159" s="27" t="s">
        <v>42</v>
      </c>
      <c r="H159" s="28" t="s">
        <v>43</v>
      </c>
      <c r="I159" s="143" t="s">
        <v>44</v>
      </c>
      <c r="J159" s="144"/>
      <c r="K159" s="38">
        <f>42*1.1</f>
        <v>46.2</v>
      </c>
      <c r="L159" s="29">
        <f t="shared" si="15"/>
        <v>924</v>
      </c>
      <c r="M159" s="34"/>
      <c r="N159" s="35"/>
      <c r="O159" s="35"/>
      <c r="P159" s="35"/>
      <c r="Q159" s="35"/>
      <c r="R159" s="35"/>
      <c r="S159" s="35"/>
      <c r="T159" s="14">
        <v>10</v>
      </c>
      <c r="U159" s="31">
        <f t="shared" si="14"/>
        <v>462</v>
      </c>
      <c r="V159" s="31"/>
      <c r="W159" s="35"/>
      <c r="X159" s="34"/>
      <c r="Y159" s="35"/>
      <c r="Z159" s="34"/>
      <c r="AA159" s="35"/>
      <c r="AB159" s="34"/>
      <c r="AC159" s="35"/>
      <c r="AD159" s="35"/>
      <c r="AE159" s="35"/>
      <c r="AF159" s="35"/>
      <c r="AG159" s="35"/>
      <c r="AH159" s="35"/>
      <c r="AI159" s="35"/>
      <c r="AJ159" s="35"/>
      <c r="AK159" s="11"/>
      <c r="AL159" s="33">
        <f t="shared" si="16"/>
        <v>462</v>
      </c>
    </row>
    <row r="160" spans="2:38" ht="30.2" customHeight="1" x14ac:dyDescent="0.25">
      <c r="B160" s="14">
        <v>21601</v>
      </c>
      <c r="C160" s="39" t="s">
        <v>172</v>
      </c>
      <c r="D160" s="14">
        <v>0</v>
      </c>
      <c r="E160" s="26">
        <v>20</v>
      </c>
      <c r="F160" s="14" t="s">
        <v>49</v>
      </c>
      <c r="G160" s="27" t="s">
        <v>42</v>
      </c>
      <c r="H160" s="28" t="s">
        <v>43</v>
      </c>
      <c r="I160" s="143" t="s">
        <v>44</v>
      </c>
      <c r="J160" s="144"/>
      <c r="K160" s="38">
        <f>65*1.1</f>
        <v>71.5</v>
      </c>
      <c r="L160" s="29">
        <f t="shared" si="15"/>
        <v>1430</v>
      </c>
      <c r="M160" s="34"/>
      <c r="N160" s="35"/>
      <c r="O160" s="35"/>
      <c r="P160" s="35"/>
      <c r="Q160" s="35"/>
      <c r="R160" s="35"/>
      <c r="S160" s="35"/>
      <c r="T160" s="14">
        <v>10</v>
      </c>
      <c r="U160" s="31">
        <f t="shared" si="14"/>
        <v>715</v>
      </c>
      <c r="V160" s="31"/>
      <c r="W160" s="35"/>
      <c r="X160" s="34"/>
      <c r="Y160" s="35"/>
      <c r="Z160" s="34"/>
      <c r="AA160" s="35"/>
      <c r="AB160" s="34"/>
      <c r="AC160" s="35"/>
      <c r="AD160" s="35"/>
      <c r="AE160" s="35"/>
      <c r="AF160" s="35"/>
      <c r="AG160" s="35"/>
      <c r="AH160" s="35"/>
      <c r="AI160" s="35"/>
      <c r="AJ160" s="35"/>
      <c r="AK160" s="11"/>
      <c r="AL160" s="33">
        <f t="shared" si="16"/>
        <v>715</v>
      </c>
    </row>
    <row r="161" spans="2:40" ht="30.2" customHeight="1" x14ac:dyDescent="0.25">
      <c r="B161" s="14">
        <v>21601</v>
      </c>
      <c r="C161" s="39" t="s">
        <v>173</v>
      </c>
      <c r="D161" s="14">
        <v>0</v>
      </c>
      <c r="E161" s="26">
        <v>8</v>
      </c>
      <c r="F161" s="14" t="s">
        <v>49</v>
      </c>
      <c r="G161" s="27" t="s">
        <v>42</v>
      </c>
      <c r="H161" s="28" t="s">
        <v>43</v>
      </c>
      <c r="I161" s="143" t="s">
        <v>44</v>
      </c>
      <c r="J161" s="144"/>
      <c r="K161" s="38">
        <f>69*1.1</f>
        <v>75.900000000000006</v>
      </c>
      <c r="L161" s="29">
        <f t="shared" si="15"/>
        <v>607.20000000000005</v>
      </c>
      <c r="M161" s="34"/>
      <c r="N161" s="35"/>
      <c r="O161" s="35"/>
      <c r="P161" s="35"/>
      <c r="Q161" s="35"/>
      <c r="R161" s="35"/>
      <c r="S161" s="35"/>
      <c r="T161" s="14">
        <v>4</v>
      </c>
      <c r="U161" s="31">
        <f t="shared" si="14"/>
        <v>303.60000000000002</v>
      </c>
      <c r="V161" s="31"/>
      <c r="W161" s="35"/>
      <c r="X161" s="34"/>
      <c r="Y161" s="35"/>
      <c r="Z161" s="34"/>
      <c r="AA161" s="35"/>
      <c r="AB161" s="34"/>
      <c r="AC161" s="35"/>
      <c r="AD161" s="35"/>
      <c r="AE161" s="35"/>
      <c r="AF161" s="35"/>
      <c r="AG161" s="35"/>
      <c r="AH161" s="35"/>
      <c r="AI161" s="35"/>
      <c r="AJ161" s="35"/>
      <c r="AK161" s="11"/>
      <c r="AL161" s="33">
        <f t="shared" si="16"/>
        <v>303.60000000000002</v>
      </c>
    </row>
    <row r="162" spans="2:40" ht="30.2" customHeight="1" x14ac:dyDescent="0.25">
      <c r="B162" s="14">
        <v>21601</v>
      </c>
      <c r="C162" s="39" t="s">
        <v>174</v>
      </c>
      <c r="D162" s="14">
        <v>0</v>
      </c>
      <c r="E162" s="26">
        <v>40</v>
      </c>
      <c r="F162" s="14" t="s">
        <v>49</v>
      </c>
      <c r="G162" s="27" t="s">
        <v>42</v>
      </c>
      <c r="H162" s="28" t="s">
        <v>43</v>
      </c>
      <c r="I162" s="143" t="s">
        <v>44</v>
      </c>
      <c r="J162" s="144"/>
      <c r="K162" s="38">
        <f>12.7*1.1</f>
        <v>13.97</v>
      </c>
      <c r="L162" s="29">
        <f t="shared" si="15"/>
        <v>558.80000000000007</v>
      </c>
      <c r="M162" s="34"/>
      <c r="N162" s="35"/>
      <c r="O162" s="35"/>
      <c r="P162" s="35"/>
      <c r="Q162" s="35"/>
      <c r="R162" s="35"/>
      <c r="S162" s="35"/>
      <c r="T162" s="14">
        <v>20</v>
      </c>
      <c r="U162" s="31">
        <f t="shared" si="14"/>
        <v>279.40000000000003</v>
      </c>
      <c r="V162" s="31"/>
      <c r="W162" s="35"/>
      <c r="X162" s="34"/>
      <c r="Y162" s="35"/>
      <c r="Z162" s="34"/>
      <c r="AA162" s="35"/>
      <c r="AB162" s="34"/>
      <c r="AC162" s="35"/>
      <c r="AD162" s="35"/>
      <c r="AE162" s="35"/>
      <c r="AF162" s="35"/>
      <c r="AG162" s="35"/>
      <c r="AH162" s="35"/>
      <c r="AI162" s="35"/>
      <c r="AJ162" s="35"/>
      <c r="AK162" s="11"/>
      <c r="AL162" s="33">
        <f t="shared" si="16"/>
        <v>279.40000000000003</v>
      </c>
    </row>
    <row r="163" spans="2:40" ht="30.2" customHeight="1" x14ac:dyDescent="0.25">
      <c r="B163" s="14">
        <v>21601</v>
      </c>
      <c r="C163" s="39" t="s">
        <v>175</v>
      </c>
      <c r="D163" s="14">
        <v>0</v>
      </c>
      <c r="E163" s="26">
        <v>40</v>
      </c>
      <c r="F163" s="14" t="s">
        <v>49</v>
      </c>
      <c r="G163" s="27" t="s">
        <v>42</v>
      </c>
      <c r="H163" s="28" t="s">
        <v>43</v>
      </c>
      <c r="I163" s="143" t="s">
        <v>44</v>
      </c>
      <c r="J163" s="144"/>
      <c r="K163" s="38">
        <f>55.68*1.1</f>
        <v>61.248000000000005</v>
      </c>
      <c r="L163" s="29">
        <f t="shared" si="15"/>
        <v>2449.92</v>
      </c>
      <c r="M163" s="34"/>
      <c r="N163" s="35"/>
      <c r="O163" s="35"/>
      <c r="P163" s="35"/>
      <c r="Q163" s="35"/>
      <c r="R163" s="35"/>
      <c r="S163" s="35"/>
      <c r="T163" s="14">
        <v>20</v>
      </c>
      <c r="U163" s="31">
        <f t="shared" si="14"/>
        <v>1224.96</v>
      </c>
      <c r="V163" s="31"/>
      <c r="W163" s="35"/>
      <c r="X163" s="34"/>
      <c r="Y163" s="35"/>
      <c r="Z163" s="34"/>
      <c r="AA163" s="35"/>
      <c r="AB163" s="34"/>
      <c r="AC163" s="35"/>
      <c r="AD163" s="35"/>
      <c r="AE163" s="35"/>
      <c r="AF163" s="35"/>
      <c r="AG163" s="35"/>
      <c r="AH163" s="35"/>
      <c r="AI163" s="35"/>
      <c r="AJ163" s="35"/>
      <c r="AK163" s="11"/>
      <c r="AL163" s="33">
        <f t="shared" si="16"/>
        <v>1224.96</v>
      </c>
    </row>
    <row r="164" spans="2:40" ht="30.2" customHeight="1" x14ac:dyDescent="0.25">
      <c r="B164" s="14">
        <v>21601</v>
      </c>
      <c r="C164" s="39" t="s">
        <v>176</v>
      </c>
      <c r="D164" s="14">
        <v>0</v>
      </c>
      <c r="E164" s="26">
        <v>10</v>
      </c>
      <c r="F164" s="14" t="s">
        <v>49</v>
      </c>
      <c r="G164" s="27" t="s">
        <v>42</v>
      </c>
      <c r="H164" s="28" t="s">
        <v>43</v>
      </c>
      <c r="I164" s="143" t="s">
        <v>44</v>
      </c>
      <c r="J164" s="144"/>
      <c r="K164" s="38">
        <f>77.74*1.1</f>
        <v>85.513999999999996</v>
      </c>
      <c r="L164" s="29">
        <f t="shared" si="15"/>
        <v>855.14</v>
      </c>
      <c r="M164" s="34"/>
      <c r="N164" s="35"/>
      <c r="O164" s="35"/>
      <c r="P164" s="35"/>
      <c r="Q164" s="35"/>
      <c r="R164" s="35"/>
      <c r="S164" s="35"/>
      <c r="T164" s="14">
        <v>5</v>
      </c>
      <c r="U164" s="31">
        <f t="shared" si="14"/>
        <v>427.57</v>
      </c>
      <c r="V164" s="31"/>
      <c r="W164" s="35"/>
      <c r="X164" s="34"/>
      <c r="Y164" s="35"/>
      <c r="Z164" s="34"/>
      <c r="AA164" s="35"/>
      <c r="AB164" s="34"/>
      <c r="AC164" s="35"/>
      <c r="AD164" s="35"/>
      <c r="AE164" s="35"/>
      <c r="AF164" s="35"/>
      <c r="AG164" s="35"/>
      <c r="AH164" s="35"/>
      <c r="AI164" s="35"/>
      <c r="AJ164" s="35"/>
      <c r="AK164" s="11"/>
      <c r="AL164" s="33">
        <f t="shared" si="16"/>
        <v>427.57</v>
      </c>
    </row>
    <row r="165" spans="2:40" s="52" customFormat="1" ht="30.2" customHeight="1" x14ac:dyDescent="0.25">
      <c r="B165" s="49">
        <v>21601</v>
      </c>
      <c r="C165" s="37" t="s">
        <v>177</v>
      </c>
      <c r="D165" s="14">
        <v>0</v>
      </c>
      <c r="E165" s="26">
        <v>90</v>
      </c>
      <c r="F165" s="14" t="s">
        <v>49</v>
      </c>
      <c r="G165" s="27" t="s">
        <v>42</v>
      </c>
      <c r="H165" s="28" t="s">
        <v>43</v>
      </c>
      <c r="I165" s="143" t="s">
        <v>44</v>
      </c>
      <c r="J165" s="144"/>
      <c r="K165" s="38">
        <v>70</v>
      </c>
      <c r="L165" s="29">
        <f t="shared" si="15"/>
        <v>6300</v>
      </c>
      <c r="M165" s="69"/>
      <c r="N165" s="70"/>
      <c r="O165" s="70"/>
      <c r="P165" s="70"/>
      <c r="Q165" s="70"/>
      <c r="R165" s="70"/>
      <c r="S165" s="70"/>
      <c r="T165" s="69">
        <v>45</v>
      </c>
      <c r="U165" s="31">
        <f t="shared" si="14"/>
        <v>3150</v>
      </c>
      <c r="V165" s="71"/>
      <c r="W165" s="70"/>
      <c r="X165" s="69"/>
      <c r="Y165" s="70"/>
      <c r="Z165" s="69"/>
      <c r="AA165" s="70"/>
      <c r="AB165" s="69"/>
      <c r="AC165" s="70"/>
      <c r="AD165" s="70"/>
      <c r="AE165" s="70"/>
      <c r="AF165" s="70"/>
      <c r="AG165" s="70"/>
      <c r="AH165" s="70"/>
      <c r="AI165" s="70"/>
      <c r="AJ165" s="70"/>
      <c r="AK165" s="72"/>
      <c r="AL165" s="33">
        <f t="shared" si="16"/>
        <v>3150</v>
      </c>
      <c r="AM165" s="108"/>
      <c r="AN165" s="107"/>
    </row>
    <row r="166" spans="2:40" s="52" customFormat="1" ht="30.2" customHeight="1" x14ac:dyDescent="0.25">
      <c r="B166" s="49">
        <v>21601</v>
      </c>
      <c r="C166" s="37" t="s">
        <v>178</v>
      </c>
      <c r="D166" s="14">
        <v>0</v>
      </c>
      <c r="E166" s="26">
        <v>80</v>
      </c>
      <c r="F166" s="14" t="s">
        <v>179</v>
      </c>
      <c r="G166" s="27" t="s">
        <v>42</v>
      </c>
      <c r="H166" s="28" t="s">
        <v>43</v>
      </c>
      <c r="I166" s="143" t="s">
        <v>44</v>
      </c>
      <c r="J166" s="144"/>
      <c r="K166" s="65">
        <v>170</v>
      </c>
      <c r="L166" s="29">
        <f t="shared" si="15"/>
        <v>13600</v>
      </c>
      <c r="M166" s="69"/>
      <c r="N166" s="70"/>
      <c r="O166" s="70"/>
      <c r="P166" s="70"/>
      <c r="Q166" s="70"/>
      <c r="R166" s="70"/>
      <c r="S166" s="70"/>
      <c r="T166" s="69">
        <v>40</v>
      </c>
      <c r="U166" s="31">
        <f t="shared" si="14"/>
        <v>6800</v>
      </c>
      <c r="V166" s="71"/>
      <c r="W166" s="70"/>
      <c r="X166" s="69"/>
      <c r="Y166" s="70"/>
      <c r="Z166" s="69"/>
      <c r="AA166" s="70"/>
      <c r="AB166" s="69"/>
      <c r="AC166" s="70"/>
      <c r="AD166" s="70"/>
      <c r="AE166" s="70"/>
      <c r="AF166" s="70"/>
      <c r="AG166" s="70"/>
      <c r="AH166" s="70"/>
      <c r="AI166" s="70"/>
      <c r="AJ166" s="70"/>
      <c r="AK166" s="72"/>
      <c r="AL166" s="33">
        <f t="shared" si="16"/>
        <v>6800</v>
      </c>
      <c r="AM166" s="108"/>
      <c r="AN166" s="107"/>
    </row>
    <row r="167" spans="2:40" ht="57.75" x14ac:dyDescent="0.25">
      <c r="B167" s="14">
        <v>21601</v>
      </c>
      <c r="C167" s="14" t="s">
        <v>180</v>
      </c>
      <c r="D167" s="14">
        <v>0</v>
      </c>
      <c r="E167" s="26">
        <v>12</v>
      </c>
      <c r="F167" s="14" t="s">
        <v>181</v>
      </c>
      <c r="G167" s="27" t="s">
        <v>89</v>
      </c>
      <c r="H167" s="28" t="s">
        <v>43</v>
      </c>
      <c r="I167" s="143" t="s">
        <v>44</v>
      </c>
      <c r="J167" s="144"/>
      <c r="K167" s="17">
        <f>118*1.16*(1.05)</f>
        <v>143.72399999999999</v>
      </c>
      <c r="L167" s="17">
        <f t="shared" si="15"/>
        <v>1724.6879999999999</v>
      </c>
      <c r="M167" s="40"/>
      <c r="N167" s="41"/>
      <c r="O167" s="41"/>
      <c r="P167" s="41"/>
      <c r="Q167" s="41"/>
      <c r="R167" s="41"/>
      <c r="S167" s="41"/>
      <c r="T167" s="73">
        <v>6</v>
      </c>
      <c r="U167" s="31">
        <f t="shared" si="14"/>
        <v>862.34399999999994</v>
      </c>
      <c r="V167" s="41"/>
      <c r="W167" s="41"/>
      <c r="X167" s="43"/>
      <c r="Y167" s="41"/>
      <c r="Z167" s="43"/>
      <c r="AA167" s="41"/>
      <c r="AB167" s="43">
        <f t="shared" ref="AB167:AB170" si="17">E167/2</f>
        <v>6</v>
      </c>
      <c r="AC167" s="41">
        <f t="shared" ref="AC167:AC170" si="18">AB167*K167</f>
        <v>862.34399999999994</v>
      </c>
      <c r="AD167" s="41"/>
      <c r="AE167" s="41"/>
      <c r="AF167" s="41"/>
      <c r="AG167" s="41"/>
      <c r="AH167" s="41"/>
      <c r="AI167" s="41"/>
      <c r="AJ167" s="41"/>
      <c r="AK167" s="41"/>
      <c r="AL167" s="33">
        <f t="shared" si="16"/>
        <v>1724.6879999999999</v>
      </c>
    </row>
    <row r="168" spans="2:40" ht="57.75" x14ac:dyDescent="0.25">
      <c r="B168" s="49">
        <v>21601</v>
      </c>
      <c r="C168" s="49" t="s">
        <v>182</v>
      </c>
      <c r="D168" s="14">
        <v>0</v>
      </c>
      <c r="E168" s="26">
        <v>12</v>
      </c>
      <c r="F168" s="49" t="s">
        <v>49</v>
      </c>
      <c r="G168" s="27" t="s">
        <v>89</v>
      </c>
      <c r="H168" s="28" t="s">
        <v>43</v>
      </c>
      <c r="I168" s="143" t="s">
        <v>44</v>
      </c>
      <c r="J168" s="144"/>
      <c r="K168" s="50">
        <v>97</v>
      </c>
      <c r="L168" s="50">
        <f t="shared" si="15"/>
        <v>1164</v>
      </c>
      <c r="M168" s="51"/>
      <c r="N168" s="41"/>
      <c r="O168" s="41"/>
      <c r="P168" s="41"/>
      <c r="Q168" s="41"/>
      <c r="R168" s="41"/>
      <c r="S168" s="41"/>
      <c r="T168" s="73">
        <v>6</v>
      </c>
      <c r="U168" s="31">
        <f t="shared" si="14"/>
        <v>582</v>
      </c>
      <c r="V168" s="41"/>
      <c r="W168" s="41"/>
      <c r="X168" s="43"/>
      <c r="Y168" s="41"/>
      <c r="Z168" s="43"/>
      <c r="AA168" s="41"/>
      <c r="AB168" s="43">
        <f t="shared" si="17"/>
        <v>6</v>
      </c>
      <c r="AC168" s="41">
        <f t="shared" si="18"/>
        <v>582</v>
      </c>
      <c r="AD168" s="41"/>
      <c r="AE168" s="41"/>
      <c r="AF168" s="41"/>
      <c r="AG168" s="41"/>
      <c r="AH168" s="41"/>
      <c r="AI168" s="41"/>
      <c r="AJ168" s="41"/>
      <c r="AK168" s="41"/>
      <c r="AL168" s="33">
        <f t="shared" si="16"/>
        <v>1164</v>
      </c>
    </row>
    <row r="169" spans="2:40" ht="57.75" x14ac:dyDescent="0.25">
      <c r="B169" s="49">
        <v>21601</v>
      </c>
      <c r="C169" s="49" t="s">
        <v>183</v>
      </c>
      <c r="D169" s="14">
        <v>0</v>
      </c>
      <c r="E169" s="26">
        <v>10</v>
      </c>
      <c r="F169" s="49" t="s">
        <v>49</v>
      </c>
      <c r="G169" s="27" t="s">
        <v>89</v>
      </c>
      <c r="H169" s="28" t="s">
        <v>43</v>
      </c>
      <c r="I169" s="143" t="s">
        <v>44</v>
      </c>
      <c r="J169" s="144"/>
      <c r="K169" s="50">
        <v>130</v>
      </c>
      <c r="L169" s="50">
        <f t="shared" si="15"/>
        <v>1300</v>
      </c>
      <c r="M169" s="51"/>
      <c r="N169" s="41"/>
      <c r="O169" s="41"/>
      <c r="P169" s="41"/>
      <c r="Q169" s="41"/>
      <c r="R169" s="41"/>
      <c r="S169" s="41"/>
      <c r="T169" s="73">
        <v>5</v>
      </c>
      <c r="U169" s="31">
        <f t="shared" si="14"/>
        <v>650</v>
      </c>
      <c r="V169" s="41"/>
      <c r="W169" s="41"/>
      <c r="X169" s="43"/>
      <c r="Y169" s="41"/>
      <c r="Z169" s="43"/>
      <c r="AA169" s="41"/>
      <c r="AB169" s="43">
        <f t="shared" si="17"/>
        <v>5</v>
      </c>
      <c r="AC169" s="41">
        <f t="shared" si="18"/>
        <v>650</v>
      </c>
      <c r="AD169" s="41"/>
      <c r="AE169" s="41"/>
      <c r="AF169" s="41"/>
      <c r="AG169" s="41"/>
      <c r="AH169" s="41"/>
      <c r="AI169" s="41"/>
      <c r="AJ169" s="41"/>
      <c r="AK169" s="41"/>
      <c r="AL169" s="33">
        <f t="shared" si="16"/>
        <v>1300</v>
      </c>
    </row>
    <row r="170" spans="2:40" ht="57.75" x14ac:dyDescent="0.25">
      <c r="B170" s="49">
        <v>21601</v>
      </c>
      <c r="C170" s="74" t="s">
        <v>184</v>
      </c>
      <c r="D170" s="14">
        <v>0</v>
      </c>
      <c r="E170" s="26">
        <v>5</v>
      </c>
      <c r="F170" s="49" t="s">
        <v>49</v>
      </c>
      <c r="G170" s="27" t="s">
        <v>89</v>
      </c>
      <c r="H170" s="28" t="s">
        <v>43</v>
      </c>
      <c r="I170" s="143" t="s">
        <v>44</v>
      </c>
      <c r="J170" s="144"/>
      <c r="K170" s="50">
        <v>46</v>
      </c>
      <c r="L170" s="50">
        <f t="shared" si="15"/>
        <v>230</v>
      </c>
      <c r="M170" s="51"/>
      <c r="N170" s="41"/>
      <c r="O170" s="41"/>
      <c r="P170" s="41"/>
      <c r="Q170" s="41"/>
      <c r="R170" s="41"/>
      <c r="S170" s="41"/>
      <c r="T170" s="73">
        <v>3</v>
      </c>
      <c r="U170" s="31">
        <f t="shared" si="14"/>
        <v>138</v>
      </c>
      <c r="V170" s="41"/>
      <c r="W170" s="41"/>
      <c r="X170" s="43"/>
      <c r="Y170" s="41"/>
      <c r="Z170" s="43"/>
      <c r="AA170" s="41"/>
      <c r="AB170" s="43">
        <f t="shared" si="17"/>
        <v>2.5</v>
      </c>
      <c r="AC170" s="41">
        <f t="shared" si="18"/>
        <v>115</v>
      </c>
      <c r="AD170" s="41"/>
      <c r="AE170" s="41"/>
      <c r="AF170" s="41"/>
      <c r="AG170" s="41"/>
      <c r="AH170" s="41"/>
      <c r="AI170" s="41"/>
      <c r="AJ170" s="41"/>
      <c r="AK170" s="41"/>
      <c r="AL170" s="33">
        <f t="shared" si="16"/>
        <v>253</v>
      </c>
    </row>
    <row r="171" spans="2:40" x14ac:dyDescent="0.25">
      <c r="B171" s="19">
        <v>21602</v>
      </c>
      <c r="C171" s="19"/>
      <c r="D171" s="19"/>
      <c r="E171" s="19"/>
      <c r="F171" s="19"/>
      <c r="G171" s="58"/>
      <c r="H171" s="68"/>
      <c r="I171" s="145"/>
      <c r="J171" s="146"/>
      <c r="K171" s="20"/>
      <c r="L171" s="21">
        <f>SUM(L172:L173)</f>
        <v>149141.35999999999</v>
      </c>
      <c r="M171" s="44">
        <v>60000</v>
      </c>
      <c r="N171" s="41"/>
      <c r="O171" s="41"/>
      <c r="P171" s="41"/>
      <c r="Q171" s="41"/>
      <c r="R171" s="41"/>
      <c r="S171" s="41"/>
      <c r="T171" s="43"/>
      <c r="U171" s="41"/>
      <c r="V171" s="41"/>
      <c r="W171" s="41"/>
      <c r="X171" s="43"/>
      <c r="Y171" s="41"/>
      <c r="Z171" s="43"/>
      <c r="AA171" s="41"/>
      <c r="AB171" s="43"/>
      <c r="AC171" s="41"/>
      <c r="AD171" s="41"/>
      <c r="AE171" s="41"/>
      <c r="AF171" s="41"/>
      <c r="AG171" s="41"/>
      <c r="AH171" s="41"/>
      <c r="AI171" s="41"/>
      <c r="AJ171" s="41"/>
      <c r="AK171" s="41"/>
      <c r="AL171" s="33"/>
    </row>
    <row r="172" spans="2:40" ht="57.75" x14ac:dyDescent="0.25">
      <c r="B172" s="49">
        <v>21602</v>
      </c>
      <c r="C172" s="79" t="s">
        <v>185</v>
      </c>
      <c r="D172" s="49">
        <v>0</v>
      </c>
      <c r="E172" s="26">
        <v>1</v>
      </c>
      <c r="F172" s="49" t="s">
        <v>546</v>
      </c>
      <c r="G172" s="27" t="s">
        <v>89</v>
      </c>
      <c r="H172" s="28" t="s">
        <v>43</v>
      </c>
      <c r="I172" s="143" t="s">
        <v>44</v>
      </c>
      <c r="J172" s="144"/>
      <c r="K172" s="36">
        <v>64861.74</v>
      </c>
      <c r="L172" s="50">
        <f>E172*K172</f>
        <v>64861.74</v>
      </c>
      <c r="M172" s="51"/>
      <c r="N172" s="41"/>
      <c r="O172" s="41"/>
      <c r="P172" s="41"/>
      <c r="Q172" s="41"/>
      <c r="R172" s="41"/>
      <c r="S172" s="41"/>
      <c r="T172" s="73">
        <v>80</v>
      </c>
      <c r="U172" s="31">
        <f t="shared" ref="U172:U173" si="19">T172*K172</f>
        <v>5188939.2</v>
      </c>
      <c r="V172" s="41"/>
      <c r="W172" s="41"/>
      <c r="X172" s="43"/>
      <c r="Y172" s="41"/>
      <c r="Z172" s="43"/>
      <c r="AA172" s="41"/>
      <c r="AB172" s="43">
        <f t="shared" ref="AB172:AB173" si="20">E172/2</f>
        <v>0.5</v>
      </c>
      <c r="AC172" s="41">
        <f t="shared" ref="AC172:AC173" si="21">AB172*K172</f>
        <v>32430.87</v>
      </c>
      <c r="AD172" s="41"/>
      <c r="AE172" s="41"/>
      <c r="AF172" s="41"/>
      <c r="AG172" s="41"/>
      <c r="AH172" s="41"/>
      <c r="AI172" s="41"/>
      <c r="AJ172" s="41"/>
      <c r="AK172" s="41"/>
      <c r="AL172" s="33">
        <f t="shared" si="16"/>
        <v>5221370.07</v>
      </c>
    </row>
    <row r="173" spans="2:40" ht="57.75" x14ac:dyDescent="0.25">
      <c r="B173" s="49">
        <v>21602</v>
      </c>
      <c r="C173" s="79" t="s">
        <v>187</v>
      </c>
      <c r="D173" s="49">
        <v>0</v>
      </c>
      <c r="E173" s="26">
        <v>1</v>
      </c>
      <c r="F173" s="49" t="s">
        <v>546</v>
      </c>
      <c r="G173" s="27" t="s">
        <v>89</v>
      </c>
      <c r="H173" s="28" t="s">
        <v>43</v>
      </c>
      <c r="I173" s="143" t="s">
        <v>44</v>
      </c>
      <c r="J173" s="144"/>
      <c r="K173" s="50">
        <v>84279.62</v>
      </c>
      <c r="L173" s="50">
        <f>E173*K173</f>
        <v>84279.62</v>
      </c>
      <c r="M173" s="51"/>
      <c r="N173" s="41"/>
      <c r="O173" s="41"/>
      <c r="P173" s="41"/>
      <c r="Q173" s="41"/>
      <c r="R173" s="41"/>
      <c r="S173" s="41"/>
      <c r="T173" s="73">
        <v>75</v>
      </c>
      <c r="U173" s="31">
        <f t="shared" si="19"/>
        <v>6320971.5</v>
      </c>
      <c r="V173" s="41"/>
      <c r="W173" s="41"/>
      <c r="X173" s="43"/>
      <c r="Y173" s="41"/>
      <c r="Z173" s="43"/>
      <c r="AA173" s="41"/>
      <c r="AB173" s="43">
        <f t="shared" si="20"/>
        <v>0.5</v>
      </c>
      <c r="AC173" s="41">
        <f t="shared" si="21"/>
        <v>42139.81</v>
      </c>
      <c r="AD173" s="41"/>
      <c r="AE173" s="41"/>
      <c r="AF173" s="41"/>
      <c r="AG173" s="41"/>
      <c r="AH173" s="41"/>
      <c r="AI173" s="41"/>
      <c r="AJ173" s="41"/>
      <c r="AK173" s="41"/>
      <c r="AL173" s="33">
        <f t="shared" si="16"/>
        <v>6363111.3099999996</v>
      </c>
    </row>
    <row r="174" spans="2:40" x14ac:dyDescent="0.25">
      <c r="B174" s="19">
        <v>21603</v>
      </c>
      <c r="C174" s="75"/>
      <c r="D174" s="19"/>
      <c r="E174" s="19"/>
      <c r="F174" s="19"/>
      <c r="G174" s="58"/>
      <c r="H174" s="68"/>
      <c r="I174" s="145"/>
      <c r="J174" s="146"/>
      <c r="K174" s="20"/>
      <c r="L174" s="21">
        <f>SUM(L175)</f>
        <v>3686.22</v>
      </c>
      <c r="M174" s="44">
        <v>15001</v>
      </c>
      <c r="N174" s="41"/>
      <c r="O174" s="41"/>
      <c r="P174" s="41"/>
      <c r="Q174" s="41"/>
      <c r="R174" s="41"/>
      <c r="S174" s="41"/>
      <c r="T174" s="43"/>
      <c r="U174" s="41"/>
      <c r="V174" s="41"/>
      <c r="W174" s="41"/>
      <c r="X174" s="43"/>
      <c r="Y174" s="41"/>
      <c r="Z174" s="43"/>
      <c r="AA174" s="41"/>
      <c r="AB174" s="43"/>
      <c r="AC174" s="41"/>
      <c r="AD174" s="41"/>
      <c r="AE174" s="41"/>
      <c r="AF174" s="41"/>
      <c r="AG174" s="41"/>
      <c r="AH174" s="41"/>
      <c r="AI174" s="41"/>
      <c r="AJ174" s="41"/>
      <c r="AK174" s="41"/>
      <c r="AL174" s="33"/>
    </row>
    <row r="175" spans="2:40" ht="57.75" x14ac:dyDescent="0.25">
      <c r="B175" s="49">
        <v>21603</v>
      </c>
      <c r="C175" s="74" t="s">
        <v>188</v>
      </c>
      <c r="D175" s="76"/>
      <c r="E175" s="26">
        <v>1</v>
      </c>
      <c r="F175" s="49" t="s">
        <v>189</v>
      </c>
      <c r="G175" s="27" t="s">
        <v>89</v>
      </c>
      <c r="H175" s="28" t="s">
        <v>43</v>
      </c>
      <c r="I175" s="143" t="s">
        <v>44</v>
      </c>
      <c r="J175" s="144"/>
      <c r="K175" s="50">
        <v>3686.22</v>
      </c>
      <c r="L175" s="50">
        <f>E175*K175</f>
        <v>3686.22</v>
      </c>
      <c r="M175" s="51"/>
      <c r="N175" s="41"/>
      <c r="O175" s="41"/>
      <c r="P175" s="41"/>
      <c r="Q175" s="41"/>
      <c r="R175" s="41"/>
      <c r="S175" s="41"/>
      <c r="T175" s="73">
        <v>56</v>
      </c>
      <c r="U175" s="31">
        <f t="shared" ref="U175" si="22">T175*K175</f>
        <v>206428.31999999998</v>
      </c>
      <c r="V175" s="41"/>
      <c r="W175" s="41"/>
      <c r="X175" s="43"/>
      <c r="Y175" s="41"/>
      <c r="Z175" s="43"/>
      <c r="AA175" s="41"/>
      <c r="AB175" s="43">
        <f t="shared" ref="AB175" si="23">E175/2</f>
        <v>0.5</v>
      </c>
      <c r="AC175" s="41">
        <f t="shared" ref="AC175" si="24">AB175*K175</f>
        <v>1843.11</v>
      </c>
      <c r="AD175" s="41"/>
      <c r="AE175" s="41"/>
      <c r="AF175" s="41"/>
      <c r="AG175" s="41"/>
      <c r="AH175" s="41"/>
      <c r="AI175" s="41"/>
      <c r="AJ175" s="41"/>
      <c r="AK175" s="41"/>
      <c r="AL175" s="33">
        <f t="shared" si="16"/>
        <v>208271.42999999996</v>
      </c>
    </row>
    <row r="176" spans="2:40" x14ac:dyDescent="0.25">
      <c r="B176" s="54">
        <v>21800</v>
      </c>
      <c r="C176" s="122"/>
      <c r="D176" s="123"/>
      <c r="E176" s="54"/>
      <c r="F176" s="54"/>
      <c r="G176" s="55"/>
      <c r="H176" s="56"/>
      <c r="I176" s="120"/>
      <c r="J176" s="121"/>
      <c r="K176" s="57"/>
      <c r="L176" s="57">
        <f>+L177</f>
        <v>1</v>
      </c>
      <c r="M176" s="51"/>
      <c r="N176" s="41"/>
      <c r="O176" s="41"/>
      <c r="P176" s="41"/>
      <c r="Q176" s="41"/>
      <c r="R176" s="41"/>
      <c r="S176" s="41"/>
      <c r="T176" s="73"/>
      <c r="U176" s="31"/>
      <c r="V176" s="41"/>
      <c r="W176" s="41"/>
      <c r="X176" s="43"/>
      <c r="Y176" s="41"/>
      <c r="Z176" s="43"/>
      <c r="AA176" s="41"/>
      <c r="AB176" s="43"/>
      <c r="AC176" s="41"/>
      <c r="AD176" s="41"/>
      <c r="AE176" s="41"/>
      <c r="AF176" s="41"/>
      <c r="AG176" s="41"/>
      <c r="AH176" s="41"/>
      <c r="AI176" s="41"/>
      <c r="AJ176" s="41"/>
      <c r="AK176" s="41"/>
      <c r="AL176" s="33"/>
    </row>
    <row r="177" spans="2:40" ht="57.75" x14ac:dyDescent="0.25">
      <c r="B177" s="49">
        <v>21802</v>
      </c>
      <c r="C177" s="39" t="s">
        <v>497</v>
      </c>
      <c r="D177" s="76"/>
      <c r="E177" s="26">
        <v>1</v>
      </c>
      <c r="F177" s="49" t="s">
        <v>49</v>
      </c>
      <c r="G177" s="27" t="s">
        <v>89</v>
      </c>
      <c r="H177" s="28" t="s">
        <v>43</v>
      </c>
      <c r="I177" s="143" t="s">
        <v>44</v>
      </c>
      <c r="J177" s="144"/>
      <c r="K177" s="50">
        <v>1</v>
      </c>
      <c r="L177" s="50">
        <f>+E177*K177</f>
        <v>1</v>
      </c>
      <c r="M177" s="51"/>
      <c r="N177" s="41"/>
      <c r="O177" s="41"/>
      <c r="P177" s="41"/>
      <c r="Q177" s="41"/>
      <c r="R177" s="41"/>
      <c r="S177" s="41"/>
      <c r="T177" s="73"/>
      <c r="U177" s="31"/>
      <c r="V177" s="41"/>
      <c r="W177" s="41"/>
      <c r="X177" s="43"/>
      <c r="Y177" s="41"/>
      <c r="Z177" s="43"/>
      <c r="AA177" s="41"/>
      <c r="AB177" s="43"/>
      <c r="AC177" s="41"/>
      <c r="AD177" s="41"/>
      <c r="AE177" s="41"/>
      <c r="AF177" s="41"/>
      <c r="AG177" s="41"/>
      <c r="AH177" s="41"/>
      <c r="AI177" s="41"/>
      <c r="AJ177" s="41"/>
      <c r="AK177" s="41"/>
      <c r="AL177" s="33"/>
    </row>
    <row r="178" spans="2:40" x14ac:dyDescent="0.25">
      <c r="B178" s="19">
        <v>22000</v>
      </c>
      <c r="C178" s="75"/>
      <c r="D178" s="77"/>
      <c r="E178" s="19"/>
      <c r="F178" s="19"/>
      <c r="G178" s="58"/>
      <c r="H178" s="78"/>
      <c r="I178" s="145"/>
      <c r="J178" s="146"/>
      <c r="K178" s="20"/>
      <c r="L178" s="21">
        <f>L179+L190</f>
        <v>119805.1525</v>
      </c>
      <c r="M178" s="60">
        <f>M179+M190</f>
        <v>87002</v>
      </c>
      <c r="N178" s="41"/>
      <c r="O178" s="41"/>
      <c r="P178" s="41"/>
      <c r="Q178" s="41"/>
      <c r="R178" s="41"/>
      <c r="S178" s="41"/>
      <c r="T178" s="43"/>
      <c r="U178" s="41"/>
      <c r="V178" s="41"/>
      <c r="W178" s="41"/>
      <c r="X178" s="43"/>
      <c r="Y178" s="41"/>
      <c r="Z178" s="43"/>
      <c r="AA178" s="41"/>
      <c r="AB178" s="43"/>
      <c r="AC178" s="41"/>
      <c r="AD178" s="41"/>
      <c r="AE178" s="41"/>
      <c r="AF178" s="41"/>
      <c r="AG178" s="41"/>
      <c r="AH178" s="41"/>
      <c r="AI178" s="41"/>
      <c r="AJ178" s="41"/>
      <c r="AK178" s="41"/>
      <c r="AL178" s="33"/>
    </row>
    <row r="179" spans="2:40" x14ac:dyDescent="0.25">
      <c r="B179" s="19">
        <v>22100</v>
      </c>
      <c r="C179" s="75"/>
      <c r="D179" s="77"/>
      <c r="E179" s="19"/>
      <c r="F179" s="19"/>
      <c r="G179" s="58"/>
      <c r="H179" s="78"/>
      <c r="I179" s="145"/>
      <c r="J179" s="146"/>
      <c r="K179" s="20"/>
      <c r="L179" s="21">
        <f>L180</f>
        <v>110101.1525</v>
      </c>
      <c r="M179" s="60">
        <f>M180</f>
        <v>80000</v>
      </c>
      <c r="N179" s="41"/>
      <c r="O179" s="41"/>
      <c r="P179" s="41"/>
      <c r="Q179" s="41"/>
      <c r="R179" s="41"/>
      <c r="S179" s="41"/>
      <c r="T179" s="43"/>
      <c r="U179" s="41"/>
      <c r="V179" s="41"/>
      <c r="W179" s="41"/>
      <c r="X179" s="43"/>
      <c r="Y179" s="41"/>
      <c r="Z179" s="43"/>
      <c r="AA179" s="41"/>
      <c r="AB179" s="43"/>
      <c r="AC179" s="41"/>
      <c r="AD179" s="41"/>
      <c r="AE179" s="41"/>
      <c r="AF179" s="41"/>
      <c r="AG179" s="41"/>
      <c r="AH179" s="41"/>
      <c r="AI179" s="41"/>
      <c r="AJ179" s="41"/>
      <c r="AK179" s="41"/>
      <c r="AL179" s="33"/>
    </row>
    <row r="180" spans="2:40" x14ac:dyDescent="0.25">
      <c r="B180" s="19">
        <v>2210501</v>
      </c>
      <c r="C180" s="75"/>
      <c r="D180" s="77"/>
      <c r="E180" s="19"/>
      <c r="F180" s="19"/>
      <c r="G180" s="58"/>
      <c r="H180" s="78"/>
      <c r="I180" s="145"/>
      <c r="J180" s="146"/>
      <c r="K180" s="20"/>
      <c r="L180" s="21">
        <f>SUM(L181:L189)</f>
        <v>110101.1525</v>
      </c>
      <c r="M180" s="44">
        <v>80000</v>
      </c>
      <c r="N180" s="41"/>
      <c r="O180" s="41"/>
      <c r="P180" s="41"/>
      <c r="Q180" s="41"/>
      <c r="R180" s="41"/>
      <c r="S180" s="41"/>
      <c r="T180" s="43"/>
      <c r="U180" s="41"/>
      <c r="V180" s="41"/>
      <c r="W180" s="41"/>
      <c r="X180" s="43"/>
      <c r="Y180" s="41"/>
      <c r="Z180" s="43"/>
      <c r="AA180" s="41"/>
      <c r="AB180" s="43"/>
      <c r="AC180" s="41"/>
      <c r="AD180" s="41"/>
      <c r="AE180" s="41"/>
      <c r="AF180" s="41"/>
      <c r="AG180" s="41"/>
      <c r="AH180" s="41"/>
      <c r="AI180" s="41"/>
      <c r="AJ180" s="41"/>
      <c r="AK180" s="41"/>
      <c r="AL180" s="33"/>
    </row>
    <row r="181" spans="2:40" s="83" customFormat="1" ht="57.75" x14ac:dyDescent="0.25">
      <c r="B181" s="26">
        <v>22105</v>
      </c>
      <c r="C181" s="79" t="s">
        <v>190</v>
      </c>
      <c r="D181" s="26">
        <v>0</v>
      </c>
      <c r="E181" s="26">
        <v>100</v>
      </c>
      <c r="F181" s="26" t="s">
        <v>41</v>
      </c>
      <c r="G181" s="62" t="s">
        <v>89</v>
      </c>
      <c r="H181" s="80" t="s">
        <v>43</v>
      </c>
      <c r="I181" s="151" t="s">
        <v>44</v>
      </c>
      <c r="J181" s="152"/>
      <c r="K181" s="81">
        <v>164</v>
      </c>
      <c r="L181" s="81">
        <f>K181*E181</f>
        <v>16400</v>
      </c>
      <c r="M181" s="82"/>
      <c r="N181" s="41">
        <f>E181/12</f>
        <v>8.3333333333333339</v>
      </c>
      <c r="O181" s="41">
        <f>N181*K181</f>
        <v>1366.6666666666667</v>
      </c>
      <c r="P181" s="41">
        <f>E181/12</f>
        <v>8.3333333333333339</v>
      </c>
      <c r="Q181" s="41">
        <f>K181*P181</f>
        <v>1366.6666666666667</v>
      </c>
      <c r="R181" s="41">
        <f>E181/12</f>
        <v>8.3333333333333339</v>
      </c>
      <c r="S181" s="41">
        <f>K181*R181</f>
        <v>1366.6666666666667</v>
      </c>
      <c r="T181" s="43">
        <f>E181/12</f>
        <v>8.3333333333333339</v>
      </c>
      <c r="U181" s="41">
        <f>K181*T181</f>
        <v>1366.6666666666667</v>
      </c>
      <c r="V181" s="41">
        <f>E181/12</f>
        <v>8.3333333333333339</v>
      </c>
      <c r="W181" s="41">
        <f>K181*V181</f>
        <v>1366.6666666666667</v>
      </c>
      <c r="X181" s="43">
        <f>E181/12</f>
        <v>8.3333333333333339</v>
      </c>
      <c r="Y181" s="41">
        <f>K181*X181</f>
        <v>1366.6666666666667</v>
      </c>
      <c r="Z181" s="43">
        <f>E181/12</f>
        <v>8.3333333333333339</v>
      </c>
      <c r="AA181" s="41">
        <f>K181*Z181</f>
        <v>1366.6666666666667</v>
      </c>
      <c r="AB181" s="43">
        <f>E181/12</f>
        <v>8.3333333333333339</v>
      </c>
      <c r="AC181" s="41">
        <f>K181*AB181</f>
        <v>1366.6666666666667</v>
      </c>
      <c r="AD181" s="41">
        <f>E181/12</f>
        <v>8.3333333333333339</v>
      </c>
      <c r="AE181" s="41">
        <f>K181*AD181</f>
        <v>1366.6666666666667</v>
      </c>
      <c r="AF181" s="41">
        <f>E181/12</f>
        <v>8.3333333333333339</v>
      </c>
      <c r="AG181" s="41">
        <f>K181*AF181</f>
        <v>1366.6666666666667</v>
      </c>
      <c r="AH181" s="41">
        <f>E181/12</f>
        <v>8.3333333333333339</v>
      </c>
      <c r="AI181" s="41">
        <f>K181*AH181</f>
        <v>1366.6666666666667</v>
      </c>
      <c r="AJ181" s="41">
        <f>E181/12</f>
        <v>8.3333333333333339</v>
      </c>
      <c r="AK181" s="41">
        <f>K181*AJ181</f>
        <v>1366.6666666666667</v>
      </c>
      <c r="AL181" s="33">
        <f t="shared" si="16"/>
        <v>16399.999999999996</v>
      </c>
      <c r="AM181" s="108"/>
      <c r="AN181" s="108"/>
    </row>
    <row r="182" spans="2:40" s="83" customFormat="1" ht="57.75" x14ac:dyDescent="0.25">
      <c r="B182" s="26">
        <v>22105</v>
      </c>
      <c r="C182" s="79" t="s">
        <v>191</v>
      </c>
      <c r="D182" s="26">
        <v>0</v>
      </c>
      <c r="E182" s="26">
        <v>50</v>
      </c>
      <c r="F182" s="26" t="s">
        <v>41</v>
      </c>
      <c r="G182" s="62" t="s">
        <v>89</v>
      </c>
      <c r="H182" s="80" t="s">
        <v>43</v>
      </c>
      <c r="I182" s="151" t="s">
        <v>44</v>
      </c>
      <c r="J182" s="152"/>
      <c r="K182" s="81">
        <v>110.17</v>
      </c>
      <c r="L182" s="81">
        <f t="shared" ref="L182:L189" si="25">E182*K182</f>
        <v>5508.5</v>
      </c>
      <c r="M182" s="82"/>
      <c r="N182" s="41">
        <f t="shared" ref="N182:N189" si="26">E182/12</f>
        <v>4.166666666666667</v>
      </c>
      <c r="O182" s="41">
        <f t="shared" ref="O182:O189" si="27">N182*K182</f>
        <v>459.04166666666669</v>
      </c>
      <c r="P182" s="41">
        <f t="shared" ref="P182:P189" si="28">E182/12</f>
        <v>4.166666666666667</v>
      </c>
      <c r="Q182" s="41">
        <f t="shared" ref="Q182:Q189" si="29">K182*P182</f>
        <v>459.04166666666669</v>
      </c>
      <c r="R182" s="41">
        <f t="shared" ref="R182:R189" si="30">E182/12</f>
        <v>4.166666666666667</v>
      </c>
      <c r="S182" s="41">
        <f t="shared" ref="S182:S189" si="31">K182*R182</f>
        <v>459.04166666666669</v>
      </c>
      <c r="T182" s="43">
        <f t="shared" ref="T182:T189" si="32">E182/12</f>
        <v>4.166666666666667</v>
      </c>
      <c r="U182" s="41">
        <f t="shared" ref="U182:U189" si="33">K182*T182</f>
        <v>459.04166666666669</v>
      </c>
      <c r="V182" s="41">
        <f t="shared" ref="V182:V189" si="34">E182/12</f>
        <v>4.166666666666667</v>
      </c>
      <c r="W182" s="41">
        <f t="shared" ref="W182:W189" si="35">K182*V182</f>
        <v>459.04166666666669</v>
      </c>
      <c r="X182" s="43">
        <f t="shared" ref="X182:X189" si="36">E182/12</f>
        <v>4.166666666666667</v>
      </c>
      <c r="Y182" s="41">
        <f t="shared" ref="Y182:Y189" si="37">K182*X182</f>
        <v>459.04166666666669</v>
      </c>
      <c r="Z182" s="43">
        <f t="shared" ref="Z182:Z189" si="38">E182/12</f>
        <v>4.166666666666667</v>
      </c>
      <c r="AA182" s="41">
        <f t="shared" ref="AA182:AA189" si="39">K182*Z182</f>
        <v>459.04166666666669</v>
      </c>
      <c r="AB182" s="43">
        <f t="shared" ref="AB182:AB189" si="40">E182/12</f>
        <v>4.166666666666667</v>
      </c>
      <c r="AC182" s="41">
        <f t="shared" ref="AC182:AC189" si="41">K182*AB182</f>
        <v>459.04166666666669</v>
      </c>
      <c r="AD182" s="41">
        <f t="shared" ref="AD182:AD189" si="42">E182/12</f>
        <v>4.166666666666667</v>
      </c>
      <c r="AE182" s="41">
        <f t="shared" ref="AE182:AE189" si="43">K182*AD182</f>
        <v>459.04166666666669</v>
      </c>
      <c r="AF182" s="41">
        <f t="shared" ref="AF182:AF189" si="44">E182/12</f>
        <v>4.166666666666667</v>
      </c>
      <c r="AG182" s="41">
        <f t="shared" ref="AG182:AG189" si="45">K182*AF182</f>
        <v>459.04166666666669</v>
      </c>
      <c r="AH182" s="41">
        <f t="shared" ref="AH182:AH189" si="46">E182/12</f>
        <v>4.166666666666667</v>
      </c>
      <c r="AI182" s="41">
        <f t="shared" ref="AI182:AI189" si="47">K182*AH182</f>
        <v>459.04166666666669</v>
      </c>
      <c r="AJ182" s="41">
        <f t="shared" ref="AJ182:AJ189" si="48">E182/12</f>
        <v>4.166666666666667</v>
      </c>
      <c r="AK182" s="41">
        <f t="shared" ref="AK182:AK189" si="49">K182*AJ182</f>
        <v>459.04166666666669</v>
      </c>
      <c r="AL182" s="33">
        <f t="shared" si="16"/>
        <v>5508.5000000000009</v>
      </c>
      <c r="AM182" s="108"/>
      <c r="AN182" s="108"/>
    </row>
    <row r="183" spans="2:40" s="83" customFormat="1" ht="57.75" x14ac:dyDescent="0.25">
      <c r="B183" s="26">
        <v>22105</v>
      </c>
      <c r="C183" s="79" t="s">
        <v>192</v>
      </c>
      <c r="D183" s="26">
        <v>0</v>
      </c>
      <c r="E183" s="26">
        <v>80</v>
      </c>
      <c r="F183" s="26" t="s">
        <v>193</v>
      </c>
      <c r="G183" s="62" t="s">
        <v>89</v>
      </c>
      <c r="H183" s="80" t="s">
        <v>43</v>
      </c>
      <c r="I183" s="151" t="s">
        <v>44</v>
      </c>
      <c r="J183" s="152"/>
      <c r="K183" s="81">
        <v>300</v>
      </c>
      <c r="L183" s="81">
        <f t="shared" si="25"/>
        <v>24000</v>
      </c>
      <c r="M183" s="82"/>
      <c r="N183" s="41">
        <f t="shared" si="26"/>
        <v>6.666666666666667</v>
      </c>
      <c r="O183" s="41">
        <f t="shared" si="27"/>
        <v>2000</v>
      </c>
      <c r="P183" s="41">
        <f t="shared" si="28"/>
        <v>6.666666666666667</v>
      </c>
      <c r="Q183" s="41">
        <f t="shared" si="29"/>
        <v>2000</v>
      </c>
      <c r="R183" s="41">
        <f t="shared" si="30"/>
        <v>6.666666666666667</v>
      </c>
      <c r="S183" s="41">
        <f t="shared" si="31"/>
        <v>2000</v>
      </c>
      <c r="T183" s="43">
        <f t="shared" si="32"/>
        <v>6.666666666666667</v>
      </c>
      <c r="U183" s="41">
        <f t="shared" si="33"/>
        <v>2000</v>
      </c>
      <c r="V183" s="41">
        <f t="shared" si="34"/>
        <v>6.666666666666667</v>
      </c>
      <c r="W183" s="41">
        <f t="shared" si="35"/>
        <v>2000</v>
      </c>
      <c r="X183" s="43">
        <f t="shared" si="36"/>
        <v>6.666666666666667</v>
      </c>
      <c r="Y183" s="41">
        <f t="shared" si="37"/>
        <v>2000</v>
      </c>
      <c r="Z183" s="43">
        <f t="shared" si="38"/>
        <v>6.666666666666667</v>
      </c>
      <c r="AA183" s="41">
        <f t="shared" si="39"/>
        <v>2000</v>
      </c>
      <c r="AB183" s="43">
        <f t="shared" si="40"/>
        <v>6.666666666666667</v>
      </c>
      <c r="AC183" s="41">
        <f t="shared" si="41"/>
        <v>2000</v>
      </c>
      <c r="AD183" s="41">
        <f t="shared" si="42"/>
        <v>6.666666666666667</v>
      </c>
      <c r="AE183" s="41">
        <f t="shared" si="43"/>
        <v>2000</v>
      </c>
      <c r="AF183" s="41">
        <f t="shared" si="44"/>
        <v>6.666666666666667</v>
      </c>
      <c r="AG183" s="41">
        <f t="shared" si="45"/>
        <v>2000</v>
      </c>
      <c r="AH183" s="41">
        <f t="shared" si="46"/>
        <v>6.666666666666667</v>
      </c>
      <c r="AI183" s="41">
        <f t="shared" si="47"/>
        <v>2000</v>
      </c>
      <c r="AJ183" s="41">
        <f t="shared" si="48"/>
        <v>6.666666666666667</v>
      </c>
      <c r="AK183" s="41">
        <f t="shared" si="49"/>
        <v>2000</v>
      </c>
      <c r="AL183" s="33">
        <f t="shared" si="16"/>
        <v>24000</v>
      </c>
      <c r="AM183" s="108"/>
      <c r="AN183" s="108"/>
    </row>
    <row r="184" spans="2:40" s="83" customFormat="1" ht="57.75" x14ac:dyDescent="0.25">
      <c r="B184" s="26">
        <v>22105</v>
      </c>
      <c r="C184" s="79" t="s">
        <v>194</v>
      </c>
      <c r="D184" s="26">
        <v>0</v>
      </c>
      <c r="E184" s="26">
        <v>4</v>
      </c>
      <c r="F184" s="26" t="s">
        <v>186</v>
      </c>
      <c r="G184" s="62" t="s">
        <v>89</v>
      </c>
      <c r="H184" s="80" t="s">
        <v>43</v>
      </c>
      <c r="I184" s="151" t="s">
        <v>44</v>
      </c>
      <c r="J184" s="152"/>
      <c r="K184" s="81">
        <v>258.92</v>
      </c>
      <c r="L184" s="81">
        <f t="shared" si="25"/>
        <v>1035.68</v>
      </c>
      <c r="M184" s="82"/>
      <c r="N184" s="41">
        <f t="shared" si="26"/>
        <v>0.33333333333333331</v>
      </c>
      <c r="O184" s="41">
        <f t="shared" si="27"/>
        <v>86.306666666666672</v>
      </c>
      <c r="P184" s="41">
        <f t="shared" si="28"/>
        <v>0.33333333333333331</v>
      </c>
      <c r="Q184" s="41">
        <f t="shared" si="29"/>
        <v>86.306666666666672</v>
      </c>
      <c r="R184" s="41">
        <f t="shared" si="30"/>
        <v>0.33333333333333331</v>
      </c>
      <c r="S184" s="41">
        <f t="shared" si="31"/>
        <v>86.306666666666672</v>
      </c>
      <c r="T184" s="43">
        <f t="shared" si="32"/>
        <v>0.33333333333333331</v>
      </c>
      <c r="U184" s="41">
        <f t="shared" si="33"/>
        <v>86.306666666666672</v>
      </c>
      <c r="V184" s="41">
        <f t="shared" si="34"/>
        <v>0.33333333333333331</v>
      </c>
      <c r="W184" s="41">
        <f t="shared" si="35"/>
        <v>86.306666666666672</v>
      </c>
      <c r="X184" s="43">
        <f t="shared" si="36"/>
        <v>0.33333333333333331</v>
      </c>
      <c r="Y184" s="41">
        <f t="shared" si="37"/>
        <v>86.306666666666672</v>
      </c>
      <c r="Z184" s="43">
        <f t="shared" si="38"/>
        <v>0.33333333333333331</v>
      </c>
      <c r="AA184" s="41">
        <f t="shared" si="39"/>
        <v>86.306666666666672</v>
      </c>
      <c r="AB184" s="43">
        <f t="shared" si="40"/>
        <v>0.33333333333333331</v>
      </c>
      <c r="AC184" s="41">
        <f t="shared" si="41"/>
        <v>86.306666666666672</v>
      </c>
      <c r="AD184" s="41">
        <f t="shared" si="42"/>
        <v>0.33333333333333331</v>
      </c>
      <c r="AE184" s="41">
        <f t="shared" si="43"/>
        <v>86.306666666666672</v>
      </c>
      <c r="AF184" s="41">
        <f t="shared" si="44"/>
        <v>0.33333333333333331</v>
      </c>
      <c r="AG184" s="41">
        <f t="shared" si="45"/>
        <v>86.306666666666672</v>
      </c>
      <c r="AH184" s="41">
        <f t="shared" si="46"/>
        <v>0.33333333333333331</v>
      </c>
      <c r="AI184" s="41">
        <f t="shared" si="47"/>
        <v>86.306666666666672</v>
      </c>
      <c r="AJ184" s="41">
        <f t="shared" si="48"/>
        <v>0.33333333333333331</v>
      </c>
      <c r="AK184" s="41">
        <f t="shared" si="49"/>
        <v>86.306666666666672</v>
      </c>
      <c r="AL184" s="33">
        <f t="shared" si="16"/>
        <v>1035.6799999999998</v>
      </c>
      <c r="AM184" s="108"/>
      <c r="AN184" s="108"/>
    </row>
    <row r="185" spans="2:40" s="83" customFormat="1" ht="57.75" x14ac:dyDescent="0.25">
      <c r="B185" s="26">
        <v>22105</v>
      </c>
      <c r="C185" s="79" t="s">
        <v>195</v>
      </c>
      <c r="D185" s="26">
        <v>0</v>
      </c>
      <c r="E185" s="26">
        <v>2</v>
      </c>
      <c r="F185" s="26" t="s">
        <v>186</v>
      </c>
      <c r="G185" s="62" t="s">
        <v>89</v>
      </c>
      <c r="H185" s="80" t="s">
        <v>43</v>
      </c>
      <c r="I185" s="151" t="s">
        <v>44</v>
      </c>
      <c r="J185" s="152"/>
      <c r="K185" s="81">
        <v>320</v>
      </c>
      <c r="L185" s="81">
        <f t="shared" si="25"/>
        <v>640</v>
      </c>
      <c r="M185" s="82"/>
      <c r="N185" s="41">
        <f t="shared" si="26"/>
        <v>0.16666666666666666</v>
      </c>
      <c r="O185" s="41">
        <f t="shared" si="27"/>
        <v>53.333333333333329</v>
      </c>
      <c r="P185" s="41">
        <f t="shared" si="28"/>
        <v>0.16666666666666666</v>
      </c>
      <c r="Q185" s="41">
        <f t="shared" si="29"/>
        <v>53.333333333333329</v>
      </c>
      <c r="R185" s="41">
        <f t="shared" si="30"/>
        <v>0.16666666666666666</v>
      </c>
      <c r="S185" s="41">
        <f t="shared" si="31"/>
        <v>53.333333333333329</v>
      </c>
      <c r="T185" s="43">
        <f t="shared" si="32"/>
        <v>0.16666666666666666</v>
      </c>
      <c r="U185" s="41">
        <f t="shared" si="33"/>
        <v>53.333333333333329</v>
      </c>
      <c r="V185" s="41">
        <f t="shared" si="34"/>
        <v>0.16666666666666666</v>
      </c>
      <c r="W185" s="41">
        <f t="shared" si="35"/>
        <v>53.333333333333329</v>
      </c>
      <c r="X185" s="43">
        <f t="shared" si="36"/>
        <v>0.16666666666666666</v>
      </c>
      <c r="Y185" s="41">
        <f t="shared" si="37"/>
        <v>53.333333333333329</v>
      </c>
      <c r="Z185" s="43">
        <f t="shared" si="38"/>
        <v>0.16666666666666666</v>
      </c>
      <c r="AA185" s="41">
        <f t="shared" si="39"/>
        <v>53.333333333333329</v>
      </c>
      <c r="AB185" s="43">
        <f t="shared" si="40"/>
        <v>0.16666666666666666</v>
      </c>
      <c r="AC185" s="41">
        <f t="shared" si="41"/>
        <v>53.333333333333329</v>
      </c>
      <c r="AD185" s="41">
        <f t="shared" si="42"/>
        <v>0.16666666666666666</v>
      </c>
      <c r="AE185" s="41">
        <f t="shared" si="43"/>
        <v>53.333333333333329</v>
      </c>
      <c r="AF185" s="41">
        <f t="shared" si="44"/>
        <v>0.16666666666666666</v>
      </c>
      <c r="AG185" s="41">
        <f t="shared" si="45"/>
        <v>53.333333333333329</v>
      </c>
      <c r="AH185" s="41">
        <f t="shared" si="46"/>
        <v>0.16666666666666666</v>
      </c>
      <c r="AI185" s="41">
        <f t="shared" si="47"/>
        <v>53.333333333333329</v>
      </c>
      <c r="AJ185" s="41">
        <f t="shared" si="48"/>
        <v>0.16666666666666666</v>
      </c>
      <c r="AK185" s="41">
        <f t="shared" si="49"/>
        <v>53.333333333333329</v>
      </c>
      <c r="AL185" s="33">
        <f t="shared" si="16"/>
        <v>640</v>
      </c>
      <c r="AM185" s="108"/>
      <c r="AN185" s="108"/>
    </row>
    <row r="186" spans="2:40" s="83" customFormat="1" ht="57.75" x14ac:dyDescent="0.25">
      <c r="B186" s="26">
        <v>22105</v>
      </c>
      <c r="C186" s="79" t="s">
        <v>196</v>
      </c>
      <c r="D186" s="26">
        <v>0</v>
      </c>
      <c r="E186" s="26">
        <v>50</v>
      </c>
      <c r="F186" s="26" t="s">
        <v>197</v>
      </c>
      <c r="G186" s="62" t="s">
        <v>89</v>
      </c>
      <c r="H186" s="80" t="s">
        <v>43</v>
      </c>
      <c r="I186" s="151" t="s">
        <v>44</v>
      </c>
      <c r="J186" s="152"/>
      <c r="K186" s="81">
        <v>240</v>
      </c>
      <c r="L186" s="81">
        <f t="shared" si="25"/>
        <v>12000</v>
      </c>
      <c r="M186" s="82"/>
      <c r="N186" s="41">
        <f t="shared" si="26"/>
        <v>4.166666666666667</v>
      </c>
      <c r="O186" s="41">
        <f t="shared" si="27"/>
        <v>1000.0000000000001</v>
      </c>
      <c r="P186" s="41">
        <f t="shared" si="28"/>
        <v>4.166666666666667</v>
      </c>
      <c r="Q186" s="41">
        <f t="shared" si="29"/>
        <v>1000.0000000000001</v>
      </c>
      <c r="R186" s="41">
        <f t="shared" si="30"/>
        <v>4.166666666666667</v>
      </c>
      <c r="S186" s="41">
        <f t="shared" si="31"/>
        <v>1000.0000000000001</v>
      </c>
      <c r="T186" s="43">
        <f t="shared" si="32"/>
        <v>4.166666666666667</v>
      </c>
      <c r="U186" s="41">
        <f t="shared" si="33"/>
        <v>1000.0000000000001</v>
      </c>
      <c r="V186" s="41">
        <f t="shared" si="34"/>
        <v>4.166666666666667</v>
      </c>
      <c r="W186" s="41">
        <f t="shared" si="35"/>
        <v>1000.0000000000001</v>
      </c>
      <c r="X186" s="43">
        <f t="shared" si="36"/>
        <v>4.166666666666667</v>
      </c>
      <c r="Y186" s="41">
        <f t="shared" si="37"/>
        <v>1000.0000000000001</v>
      </c>
      <c r="Z186" s="43">
        <f t="shared" si="38"/>
        <v>4.166666666666667</v>
      </c>
      <c r="AA186" s="41">
        <f t="shared" si="39"/>
        <v>1000.0000000000001</v>
      </c>
      <c r="AB186" s="43">
        <f t="shared" si="40"/>
        <v>4.166666666666667</v>
      </c>
      <c r="AC186" s="41">
        <f t="shared" si="41"/>
        <v>1000.0000000000001</v>
      </c>
      <c r="AD186" s="41">
        <f t="shared" si="42"/>
        <v>4.166666666666667</v>
      </c>
      <c r="AE186" s="41">
        <f t="shared" si="43"/>
        <v>1000.0000000000001</v>
      </c>
      <c r="AF186" s="41">
        <f t="shared" si="44"/>
        <v>4.166666666666667</v>
      </c>
      <c r="AG186" s="41">
        <f t="shared" si="45"/>
        <v>1000.0000000000001</v>
      </c>
      <c r="AH186" s="41">
        <f t="shared" si="46"/>
        <v>4.166666666666667</v>
      </c>
      <c r="AI186" s="41">
        <f t="shared" si="47"/>
        <v>1000.0000000000001</v>
      </c>
      <c r="AJ186" s="41">
        <f t="shared" si="48"/>
        <v>4.166666666666667</v>
      </c>
      <c r="AK186" s="41">
        <f t="shared" si="49"/>
        <v>1000.0000000000001</v>
      </c>
      <c r="AL186" s="33">
        <f t="shared" si="16"/>
        <v>12000.000000000002</v>
      </c>
      <c r="AM186" s="108"/>
      <c r="AN186" s="108"/>
    </row>
    <row r="187" spans="2:40" s="83" customFormat="1" ht="57.75" x14ac:dyDescent="0.25">
      <c r="B187" s="26">
        <v>22105</v>
      </c>
      <c r="C187" s="79" t="s">
        <v>198</v>
      </c>
      <c r="D187" s="26">
        <v>0</v>
      </c>
      <c r="E187" s="26">
        <v>1</v>
      </c>
      <c r="F187" s="26" t="s">
        <v>546</v>
      </c>
      <c r="G187" s="62" t="s">
        <v>89</v>
      </c>
      <c r="H187" s="80" t="s">
        <v>43</v>
      </c>
      <c r="I187" s="151" t="s">
        <v>44</v>
      </c>
      <c r="J187" s="152"/>
      <c r="K187" s="81">
        <v>34705.71</v>
      </c>
      <c r="L187" s="81">
        <f t="shared" si="25"/>
        <v>34705.71</v>
      </c>
      <c r="M187" s="82"/>
      <c r="N187" s="41">
        <f t="shared" si="26"/>
        <v>8.3333333333333329E-2</v>
      </c>
      <c r="O187" s="41">
        <f t="shared" si="27"/>
        <v>2892.1424999999999</v>
      </c>
      <c r="P187" s="41">
        <f t="shared" si="28"/>
        <v>8.3333333333333329E-2</v>
      </c>
      <c r="Q187" s="41">
        <f t="shared" si="29"/>
        <v>2892.1424999999999</v>
      </c>
      <c r="R187" s="41">
        <f t="shared" si="30"/>
        <v>8.3333333333333329E-2</v>
      </c>
      <c r="S187" s="41">
        <f t="shared" si="31"/>
        <v>2892.1424999999999</v>
      </c>
      <c r="T187" s="43">
        <f t="shared" si="32"/>
        <v>8.3333333333333329E-2</v>
      </c>
      <c r="U187" s="41">
        <f t="shared" si="33"/>
        <v>2892.1424999999999</v>
      </c>
      <c r="V187" s="41">
        <f t="shared" si="34"/>
        <v>8.3333333333333329E-2</v>
      </c>
      <c r="W187" s="41">
        <f t="shared" si="35"/>
        <v>2892.1424999999999</v>
      </c>
      <c r="X187" s="43">
        <f t="shared" si="36"/>
        <v>8.3333333333333329E-2</v>
      </c>
      <c r="Y187" s="41">
        <f t="shared" si="37"/>
        <v>2892.1424999999999</v>
      </c>
      <c r="Z187" s="43">
        <f t="shared" si="38"/>
        <v>8.3333333333333329E-2</v>
      </c>
      <c r="AA187" s="41">
        <f t="shared" si="39"/>
        <v>2892.1424999999999</v>
      </c>
      <c r="AB187" s="43">
        <f t="shared" si="40"/>
        <v>8.3333333333333329E-2</v>
      </c>
      <c r="AC187" s="41">
        <f t="shared" si="41"/>
        <v>2892.1424999999999</v>
      </c>
      <c r="AD187" s="41">
        <f t="shared" si="42"/>
        <v>8.3333333333333329E-2</v>
      </c>
      <c r="AE187" s="41">
        <f t="shared" si="43"/>
        <v>2892.1424999999999</v>
      </c>
      <c r="AF187" s="41">
        <f t="shared" si="44"/>
        <v>8.3333333333333329E-2</v>
      </c>
      <c r="AG187" s="41">
        <f t="shared" si="45"/>
        <v>2892.1424999999999</v>
      </c>
      <c r="AH187" s="41">
        <f t="shared" si="46"/>
        <v>8.3333333333333329E-2</v>
      </c>
      <c r="AI187" s="41">
        <f t="shared" si="47"/>
        <v>2892.1424999999999</v>
      </c>
      <c r="AJ187" s="41">
        <f t="shared" si="48"/>
        <v>8.3333333333333329E-2</v>
      </c>
      <c r="AK187" s="41">
        <f t="shared" si="49"/>
        <v>2892.1424999999999</v>
      </c>
      <c r="AL187" s="33">
        <f t="shared" si="16"/>
        <v>34705.710000000006</v>
      </c>
      <c r="AM187" s="108"/>
      <c r="AN187" s="108"/>
    </row>
    <row r="188" spans="2:40" s="83" customFormat="1" ht="57.75" x14ac:dyDescent="0.25">
      <c r="B188" s="26">
        <v>22105</v>
      </c>
      <c r="C188" s="79" t="s">
        <v>199</v>
      </c>
      <c r="D188" s="26">
        <v>0</v>
      </c>
      <c r="E188" s="26">
        <v>70</v>
      </c>
      <c r="F188" s="26" t="s">
        <v>186</v>
      </c>
      <c r="G188" s="62" t="s">
        <v>89</v>
      </c>
      <c r="H188" s="80" t="s">
        <v>43</v>
      </c>
      <c r="I188" s="151" t="s">
        <v>44</v>
      </c>
      <c r="J188" s="152"/>
      <c r="K188" s="81">
        <f>5191.29/24</f>
        <v>216.30375000000001</v>
      </c>
      <c r="L188" s="81">
        <f t="shared" si="25"/>
        <v>15141.262500000001</v>
      </c>
      <c r="M188" s="82"/>
      <c r="N188" s="41">
        <f t="shared" si="26"/>
        <v>5.833333333333333</v>
      </c>
      <c r="O188" s="41">
        <f t="shared" si="27"/>
        <v>1261.7718749999999</v>
      </c>
      <c r="P188" s="41">
        <f t="shared" si="28"/>
        <v>5.833333333333333</v>
      </c>
      <c r="Q188" s="41">
        <f t="shared" si="29"/>
        <v>1261.7718749999999</v>
      </c>
      <c r="R188" s="41">
        <f t="shared" si="30"/>
        <v>5.833333333333333</v>
      </c>
      <c r="S188" s="41">
        <f t="shared" si="31"/>
        <v>1261.7718749999999</v>
      </c>
      <c r="T188" s="43">
        <f t="shared" si="32"/>
        <v>5.833333333333333</v>
      </c>
      <c r="U188" s="41">
        <f t="shared" si="33"/>
        <v>1261.7718749999999</v>
      </c>
      <c r="V188" s="41">
        <f t="shared" si="34"/>
        <v>5.833333333333333</v>
      </c>
      <c r="W188" s="41">
        <f t="shared" si="35"/>
        <v>1261.7718749999999</v>
      </c>
      <c r="X188" s="43">
        <f t="shared" si="36"/>
        <v>5.833333333333333</v>
      </c>
      <c r="Y188" s="41">
        <f t="shared" si="37"/>
        <v>1261.7718749999999</v>
      </c>
      <c r="Z188" s="43">
        <f t="shared" si="38"/>
        <v>5.833333333333333</v>
      </c>
      <c r="AA188" s="41">
        <f t="shared" si="39"/>
        <v>1261.7718749999999</v>
      </c>
      <c r="AB188" s="43">
        <f t="shared" si="40"/>
        <v>5.833333333333333</v>
      </c>
      <c r="AC188" s="41">
        <f t="shared" si="41"/>
        <v>1261.7718749999999</v>
      </c>
      <c r="AD188" s="41">
        <f t="shared" si="42"/>
        <v>5.833333333333333</v>
      </c>
      <c r="AE188" s="41">
        <f t="shared" si="43"/>
        <v>1261.7718749999999</v>
      </c>
      <c r="AF188" s="41">
        <f t="shared" si="44"/>
        <v>5.833333333333333</v>
      </c>
      <c r="AG188" s="41">
        <f t="shared" si="45"/>
        <v>1261.7718749999999</v>
      </c>
      <c r="AH188" s="41">
        <f t="shared" si="46"/>
        <v>5.833333333333333</v>
      </c>
      <c r="AI188" s="41">
        <f t="shared" si="47"/>
        <v>1261.7718749999999</v>
      </c>
      <c r="AJ188" s="41">
        <f t="shared" si="48"/>
        <v>5.833333333333333</v>
      </c>
      <c r="AK188" s="41">
        <f t="shared" si="49"/>
        <v>1261.7718749999999</v>
      </c>
      <c r="AL188" s="33">
        <f t="shared" si="16"/>
        <v>15141.262500000003</v>
      </c>
      <c r="AM188" s="108"/>
      <c r="AN188" s="108"/>
    </row>
    <row r="189" spans="2:40" s="83" customFormat="1" ht="57.75" x14ac:dyDescent="0.25">
      <c r="B189" s="26">
        <v>22105</v>
      </c>
      <c r="C189" s="79" t="s">
        <v>200</v>
      </c>
      <c r="D189" s="26">
        <v>0</v>
      </c>
      <c r="E189" s="26">
        <v>2</v>
      </c>
      <c r="F189" s="26" t="s">
        <v>186</v>
      </c>
      <c r="G189" s="62" t="s">
        <v>89</v>
      </c>
      <c r="H189" s="80" t="s">
        <v>43</v>
      </c>
      <c r="I189" s="151" t="s">
        <v>44</v>
      </c>
      <c r="J189" s="152"/>
      <c r="K189" s="81">
        <v>335</v>
      </c>
      <c r="L189" s="81">
        <f t="shared" si="25"/>
        <v>670</v>
      </c>
      <c r="M189" s="82"/>
      <c r="N189" s="41">
        <f t="shared" si="26"/>
        <v>0.16666666666666666</v>
      </c>
      <c r="O189" s="41">
        <f t="shared" si="27"/>
        <v>55.833333333333329</v>
      </c>
      <c r="P189" s="41">
        <f t="shared" si="28"/>
        <v>0.16666666666666666</v>
      </c>
      <c r="Q189" s="41">
        <f t="shared" si="29"/>
        <v>55.833333333333329</v>
      </c>
      <c r="R189" s="41">
        <f t="shared" si="30"/>
        <v>0.16666666666666666</v>
      </c>
      <c r="S189" s="41">
        <f t="shared" si="31"/>
        <v>55.833333333333329</v>
      </c>
      <c r="T189" s="43">
        <f t="shared" si="32"/>
        <v>0.16666666666666666</v>
      </c>
      <c r="U189" s="41">
        <f t="shared" si="33"/>
        <v>55.833333333333329</v>
      </c>
      <c r="V189" s="41">
        <f t="shared" si="34"/>
        <v>0.16666666666666666</v>
      </c>
      <c r="W189" s="41">
        <f t="shared" si="35"/>
        <v>55.833333333333329</v>
      </c>
      <c r="X189" s="43">
        <f t="shared" si="36"/>
        <v>0.16666666666666666</v>
      </c>
      <c r="Y189" s="41">
        <f t="shared" si="37"/>
        <v>55.833333333333329</v>
      </c>
      <c r="Z189" s="43">
        <f t="shared" si="38"/>
        <v>0.16666666666666666</v>
      </c>
      <c r="AA189" s="41">
        <f t="shared" si="39"/>
        <v>55.833333333333329</v>
      </c>
      <c r="AB189" s="43">
        <f t="shared" si="40"/>
        <v>0.16666666666666666</v>
      </c>
      <c r="AC189" s="41">
        <f t="shared" si="41"/>
        <v>55.833333333333329</v>
      </c>
      <c r="AD189" s="41">
        <f t="shared" si="42"/>
        <v>0.16666666666666666</v>
      </c>
      <c r="AE189" s="41">
        <f t="shared" si="43"/>
        <v>55.833333333333329</v>
      </c>
      <c r="AF189" s="41">
        <f t="shared" si="44"/>
        <v>0.16666666666666666</v>
      </c>
      <c r="AG189" s="41">
        <f t="shared" si="45"/>
        <v>55.833333333333329</v>
      </c>
      <c r="AH189" s="41">
        <f t="shared" si="46"/>
        <v>0.16666666666666666</v>
      </c>
      <c r="AI189" s="41">
        <f t="shared" si="47"/>
        <v>55.833333333333329</v>
      </c>
      <c r="AJ189" s="41">
        <f t="shared" si="48"/>
        <v>0.16666666666666666</v>
      </c>
      <c r="AK189" s="41">
        <f t="shared" si="49"/>
        <v>55.833333333333329</v>
      </c>
      <c r="AL189" s="33">
        <f t="shared" si="16"/>
        <v>670</v>
      </c>
      <c r="AM189" s="108"/>
      <c r="AN189" s="108"/>
    </row>
    <row r="190" spans="2:40" x14ac:dyDescent="0.25">
      <c r="B190" s="19">
        <v>22300</v>
      </c>
      <c r="C190" s="75"/>
      <c r="D190" s="19"/>
      <c r="E190" s="19"/>
      <c r="F190" s="19"/>
      <c r="G190" s="58"/>
      <c r="H190" s="59"/>
      <c r="I190" s="145"/>
      <c r="J190" s="146"/>
      <c r="K190" s="20"/>
      <c r="L190" s="21">
        <f>+L191+L192+L201</f>
        <v>9704</v>
      </c>
      <c r="M190" s="60">
        <f>M192</f>
        <v>7002</v>
      </c>
      <c r="N190" s="41"/>
      <c r="O190" s="41"/>
      <c r="P190" s="41"/>
      <c r="Q190" s="41"/>
      <c r="R190" s="41"/>
      <c r="S190" s="41"/>
      <c r="T190" s="43"/>
      <c r="U190" s="41"/>
      <c r="V190" s="41"/>
      <c r="W190" s="41"/>
      <c r="X190" s="43"/>
      <c r="Y190" s="41"/>
      <c r="Z190" s="43"/>
      <c r="AA190" s="41"/>
      <c r="AB190" s="43"/>
      <c r="AC190" s="41"/>
      <c r="AD190" s="41"/>
      <c r="AE190" s="41"/>
      <c r="AF190" s="41"/>
      <c r="AG190" s="41"/>
      <c r="AH190" s="41"/>
      <c r="AI190" s="41"/>
      <c r="AJ190" s="41"/>
      <c r="AK190" s="41"/>
      <c r="AL190" s="33"/>
    </row>
    <row r="191" spans="2:40" ht="57.75" x14ac:dyDescent="0.25">
      <c r="B191" s="26">
        <v>22301</v>
      </c>
      <c r="C191" s="119" t="s">
        <v>498</v>
      </c>
      <c r="D191" s="26"/>
      <c r="E191" s="26">
        <v>1</v>
      </c>
      <c r="F191" s="26" t="s">
        <v>49</v>
      </c>
      <c r="G191" s="62" t="s">
        <v>89</v>
      </c>
      <c r="H191" s="80" t="s">
        <v>43</v>
      </c>
      <c r="I191" s="151" t="s">
        <v>44</v>
      </c>
      <c r="J191" s="152"/>
      <c r="K191" s="81">
        <v>1</v>
      </c>
      <c r="L191" s="81">
        <f>+K191*E191</f>
        <v>1</v>
      </c>
      <c r="M191" s="44"/>
      <c r="N191" s="41"/>
      <c r="O191" s="41"/>
      <c r="P191" s="41"/>
      <c r="Q191" s="41"/>
      <c r="R191" s="41"/>
      <c r="S191" s="41"/>
      <c r="T191" s="43"/>
      <c r="U191" s="41"/>
      <c r="V191" s="41"/>
      <c r="W191" s="41"/>
      <c r="X191" s="43"/>
      <c r="Y191" s="41"/>
      <c r="Z191" s="43"/>
      <c r="AA191" s="41"/>
      <c r="AB191" s="43"/>
      <c r="AC191" s="41"/>
      <c r="AD191" s="41"/>
      <c r="AE191" s="41"/>
      <c r="AF191" s="41"/>
      <c r="AG191" s="41"/>
      <c r="AH191" s="41"/>
      <c r="AI191" s="41"/>
      <c r="AJ191" s="41"/>
      <c r="AK191" s="41"/>
      <c r="AL191" s="33"/>
    </row>
    <row r="192" spans="2:40" x14ac:dyDescent="0.25">
      <c r="B192" s="19">
        <v>22302</v>
      </c>
      <c r="C192" s="75"/>
      <c r="D192" s="19"/>
      <c r="E192" s="19"/>
      <c r="F192" s="19"/>
      <c r="G192" s="58"/>
      <c r="H192" s="59"/>
      <c r="I192" s="145"/>
      <c r="J192" s="146"/>
      <c r="K192" s="20"/>
      <c r="L192" s="21">
        <f>SUM(L193:L200)</f>
        <v>9702</v>
      </c>
      <c r="M192" s="44">
        <v>7002</v>
      </c>
      <c r="N192" s="41"/>
      <c r="O192" s="41"/>
      <c r="P192" s="41"/>
      <c r="Q192" s="41"/>
      <c r="R192" s="41"/>
      <c r="S192" s="41"/>
      <c r="T192" s="43"/>
      <c r="U192" s="41"/>
      <c r="V192" s="41"/>
      <c r="W192" s="41"/>
      <c r="X192" s="43"/>
      <c r="Y192" s="41"/>
      <c r="Z192" s="43"/>
      <c r="AA192" s="41"/>
      <c r="AB192" s="43"/>
      <c r="AC192" s="41"/>
      <c r="AD192" s="41"/>
      <c r="AE192" s="41"/>
      <c r="AF192" s="41"/>
      <c r="AG192" s="41"/>
      <c r="AH192" s="41"/>
      <c r="AI192" s="41"/>
      <c r="AJ192" s="41"/>
      <c r="AK192" s="41"/>
      <c r="AL192" s="33"/>
    </row>
    <row r="193" spans="2:40" s="83" customFormat="1" ht="57.75" x14ac:dyDescent="0.25">
      <c r="B193" s="26">
        <v>22302</v>
      </c>
      <c r="C193" s="79" t="s">
        <v>201</v>
      </c>
      <c r="D193" s="26">
        <v>0</v>
      </c>
      <c r="E193" s="26">
        <v>2</v>
      </c>
      <c r="F193" s="26" t="s">
        <v>41</v>
      </c>
      <c r="G193" s="62" t="s">
        <v>202</v>
      </c>
      <c r="H193" s="80" t="s">
        <v>43</v>
      </c>
      <c r="I193" s="151" t="s">
        <v>44</v>
      </c>
      <c r="J193" s="152"/>
      <c r="K193" s="81">
        <f>860-31.5</f>
        <v>828.5</v>
      </c>
      <c r="L193" s="81">
        <f t="shared" ref="L193:L201" si="50">E193*K193</f>
        <v>1657</v>
      </c>
      <c r="M193" s="82"/>
      <c r="N193" s="41">
        <f t="shared" ref="N193:N197" si="51">E193/12</f>
        <v>0.16666666666666666</v>
      </c>
      <c r="O193" s="41">
        <f t="shared" ref="O193:O197" si="52">N193*K193</f>
        <v>138.08333333333331</v>
      </c>
      <c r="P193" s="41">
        <f t="shared" ref="P193:P197" si="53">E193/12</f>
        <v>0.16666666666666666</v>
      </c>
      <c r="Q193" s="41">
        <f t="shared" ref="Q193:Q197" si="54">K193*P193</f>
        <v>138.08333333333331</v>
      </c>
      <c r="R193" s="41">
        <f t="shared" ref="R193:R197" si="55">E193/12</f>
        <v>0.16666666666666666</v>
      </c>
      <c r="S193" s="41">
        <f t="shared" ref="S193:S197" si="56">K193*R193</f>
        <v>138.08333333333331</v>
      </c>
      <c r="T193" s="43">
        <f t="shared" ref="T193:T197" si="57">E193/12</f>
        <v>0.16666666666666666</v>
      </c>
      <c r="U193" s="41">
        <f t="shared" ref="U193:U200" si="58">K193*T193</f>
        <v>138.08333333333331</v>
      </c>
      <c r="V193" s="41">
        <f t="shared" ref="V193:V197" si="59">E193/12</f>
        <v>0.16666666666666666</v>
      </c>
      <c r="W193" s="41">
        <f t="shared" ref="W193:W197" si="60">K193*V193</f>
        <v>138.08333333333331</v>
      </c>
      <c r="X193" s="43">
        <f t="shared" ref="X193:X197" si="61">E193/12</f>
        <v>0.16666666666666666</v>
      </c>
      <c r="Y193" s="41">
        <f t="shared" ref="Y193:Y197" si="62">K193*X193</f>
        <v>138.08333333333331</v>
      </c>
      <c r="Z193" s="43">
        <f t="shared" ref="Z193:Z197" si="63">E193/12</f>
        <v>0.16666666666666666</v>
      </c>
      <c r="AA193" s="41">
        <f t="shared" ref="AA193:AA197" si="64">K193*Z193</f>
        <v>138.08333333333331</v>
      </c>
      <c r="AB193" s="43">
        <f t="shared" ref="AB193:AB197" si="65">E193/12</f>
        <v>0.16666666666666666</v>
      </c>
      <c r="AC193" s="41">
        <f t="shared" ref="AC193:AC197" si="66">K193*AB193</f>
        <v>138.08333333333331</v>
      </c>
      <c r="AD193" s="41">
        <f t="shared" ref="AD193:AD197" si="67">E193/12</f>
        <v>0.16666666666666666</v>
      </c>
      <c r="AE193" s="41">
        <f t="shared" ref="AE193:AE197" si="68">K193*AD193</f>
        <v>138.08333333333331</v>
      </c>
      <c r="AF193" s="41">
        <f t="shared" ref="AF193:AF197" si="69">E193/12</f>
        <v>0.16666666666666666</v>
      </c>
      <c r="AG193" s="41">
        <f t="shared" ref="AG193:AG197" si="70">K193*AF193</f>
        <v>138.08333333333331</v>
      </c>
      <c r="AH193" s="41">
        <f t="shared" ref="AH193:AH197" si="71">E193/12</f>
        <v>0.16666666666666666</v>
      </c>
      <c r="AI193" s="41">
        <f t="shared" ref="AI193:AI197" si="72">K193*AH193</f>
        <v>138.08333333333331</v>
      </c>
      <c r="AJ193" s="41">
        <f t="shared" ref="AJ193:AJ197" si="73">E193/12</f>
        <v>0.16666666666666666</v>
      </c>
      <c r="AK193" s="41">
        <f t="shared" ref="AK193:AK197" si="74">K193*AJ193</f>
        <v>138.08333333333331</v>
      </c>
      <c r="AL193" s="33">
        <f t="shared" si="16"/>
        <v>1656.9999999999993</v>
      </c>
      <c r="AM193" s="108"/>
      <c r="AN193" s="108"/>
    </row>
    <row r="194" spans="2:40" s="83" customFormat="1" ht="57.75" x14ac:dyDescent="0.25">
      <c r="B194" s="26">
        <v>22302</v>
      </c>
      <c r="C194" s="79" t="s">
        <v>203</v>
      </c>
      <c r="D194" s="26">
        <v>0</v>
      </c>
      <c r="E194" s="26">
        <v>3</v>
      </c>
      <c r="F194" s="26" t="s">
        <v>41</v>
      </c>
      <c r="G194" s="62" t="s">
        <v>202</v>
      </c>
      <c r="H194" s="80" t="s">
        <v>43</v>
      </c>
      <c r="I194" s="151" t="s">
        <v>44</v>
      </c>
      <c r="J194" s="152"/>
      <c r="K194" s="81">
        <v>410</v>
      </c>
      <c r="L194" s="81">
        <f t="shared" si="50"/>
        <v>1230</v>
      </c>
      <c r="M194" s="82"/>
      <c r="N194" s="41">
        <f t="shared" si="51"/>
        <v>0.25</v>
      </c>
      <c r="O194" s="41">
        <f t="shared" si="52"/>
        <v>102.5</v>
      </c>
      <c r="P194" s="41">
        <f t="shared" si="53"/>
        <v>0.25</v>
      </c>
      <c r="Q194" s="41">
        <f t="shared" si="54"/>
        <v>102.5</v>
      </c>
      <c r="R194" s="41">
        <f t="shared" si="55"/>
        <v>0.25</v>
      </c>
      <c r="S194" s="41">
        <f t="shared" si="56"/>
        <v>102.5</v>
      </c>
      <c r="T194" s="43">
        <f t="shared" si="57"/>
        <v>0.25</v>
      </c>
      <c r="U194" s="41">
        <f t="shared" si="58"/>
        <v>102.5</v>
      </c>
      <c r="V194" s="41">
        <f t="shared" si="59"/>
        <v>0.25</v>
      </c>
      <c r="W194" s="41">
        <f t="shared" si="60"/>
        <v>102.5</v>
      </c>
      <c r="X194" s="43">
        <f t="shared" si="61"/>
        <v>0.25</v>
      </c>
      <c r="Y194" s="41">
        <f t="shared" si="62"/>
        <v>102.5</v>
      </c>
      <c r="Z194" s="43">
        <f t="shared" si="63"/>
        <v>0.25</v>
      </c>
      <c r="AA194" s="41">
        <f t="shared" si="64"/>
        <v>102.5</v>
      </c>
      <c r="AB194" s="43">
        <f t="shared" si="65"/>
        <v>0.25</v>
      </c>
      <c r="AC194" s="41">
        <f t="shared" si="66"/>
        <v>102.5</v>
      </c>
      <c r="AD194" s="41">
        <f t="shared" si="67"/>
        <v>0.25</v>
      </c>
      <c r="AE194" s="41">
        <f t="shared" si="68"/>
        <v>102.5</v>
      </c>
      <c r="AF194" s="41">
        <f t="shared" si="69"/>
        <v>0.25</v>
      </c>
      <c r="AG194" s="41">
        <f t="shared" si="70"/>
        <v>102.5</v>
      </c>
      <c r="AH194" s="41">
        <f t="shared" si="71"/>
        <v>0.25</v>
      </c>
      <c r="AI194" s="41">
        <f t="shared" si="72"/>
        <v>102.5</v>
      </c>
      <c r="AJ194" s="41">
        <f t="shared" si="73"/>
        <v>0.25</v>
      </c>
      <c r="AK194" s="41">
        <f t="shared" si="74"/>
        <v>102.5</v>
      </c>
      <c r="AL194" s="33">
        <f t="shared" si="16"/>
        <v>1230</v>
      </c>
      <c r="AM194" s="108"/>
      <c r="AN194" s="108"/>
    </row>
    <row r="195" spans="2:40" s="83" customFormat="1" ht="57.75" x14ac:dyDescent="0.25">
      <c r="B195" s="26">
        <v>22302</v>
      </c>
      <c r="C195" s="79" t="s">
        <v>204</v>
      </c>
      <c r="D195" s="26">
        <v>0</v>
      </c>
      <c r="E195" s="26">
        <v>21</v>
      </c>
      <c r="F195" s="26" t="s">
        <v>49</v>
      </c>
      <c r="G195" s="62" t="s">
        <v>202</v>
      </c>
      <c r="H195" s="80" t="s">
        <v>43</v>
      </c>
      <c r="I195" s="151" t="s">
        <v>44</v>
      </c>
      <c r="J195" s="152"/>
      <c r="K195" s="81">
        <v>90</v>
      </c>
      <c r="L195" s="81">
        <f t="shared" si="50"/>
        <v>1890</v>
      </c>
      <c r="M195" s="82"/>
      <c r="N195" s="41">
        <f t="shared" si="51"/>
        <v>1.75</v>
      </c>
      <c r="O195" s="41">
        <f t="shared" si="52"/>
        <v>157.5</v>
      </c>
      <c r="P195" s="41">
        <f t="shared" si="53"/>
        <v>1.75</v>
      </c>
      <c r="Q195" s="41">
        <f t="shared" si="54"/>
        <v>157.5</v>
      </c>
      <c r="R195" s="41">
        <f t="shared" si="55"/>
        <v>1.75</v>
      </c>
      <c r="S195" s="41">
        <f t="shared" si="56"/>
        <v>157.5</v>
      </c>
      <c r="T195" s="43">
        <f t="shared" si="57"/>
        <v>1.75</v>
      </c>
      <c r="U195" s="41">
        <f t="shared" si="58"/>
        <v>157.5</v>
      </c>
      <c r="V195" s="41">
        <f t="shared" si="59"/>
        <v>1.75</v>
      </c>
      <c r="W195" s="41">
        <f t="shared" si="60"/>
        <v>157.5</v>
      </c>
      <c r="X195" s="43">
        <f t="shared" si="61"/>
        <v>1.75</v>
      </c>
      <c r="Y195" s="41">
        <f t="shared" si="62"/>
        <v>157.5</v>
      </c>
      <c r="Z195" s="43">
        <f t="shared" si="63"/>
        <v>1.75</v>
      </c>
      <c r="AA195" s="41">
        <f t="shared" si="64"/>
        <v>157.5</v>
      </c>
      <c r="AB195" s="43">
        <f t="shared" si="65"/>
        <v>1.75</v>
      </c>
      <c r="AC195" s="41">
        <f t="shared" si="66"/>
        <v>157.5</v>
      </c>
      <c r="AD195" s="41">
        <f t="shared" si="67"/>
        <v>1.75</v>
      </c>
      <c r="AE195" s="41">
        <f t="shared" si="68"/>
        <v>157.5</v>
      </c>
      <c r="AF195" s="41">
        <f t="shared" si="69"/>
        <v>1.75</v>
      </c>
      <c r="AG195" s="41">
        <f t="shared" si="70"/>
        <v>157.5</v>
      </c>
      <c r="AH195" s="41">
        <f t="shared" si="71"/>
        <v>1.75</v>
      </c>
      <c r="AI195" s="41">
        <f t="shared" si="72"/>
        <v>157.5</v>
      </c>
      <c r="AJ195" s="41">
        <f t="shared" si="73"/>
        <v>1.75</v>
      </c>
      <c r="AK195" s="41">
        <f t="shared" si="74"/>
        <v>157.5</v>
      </c>
      <c r="AL195" s="33">
        <f t="shared" si="16"/>
        <v>1890</v>
      </c>
      <c r="AM195" s="108"/>
      <c r="AN195" s="108"/>
    </row>
    <row r="196" spans="2:40" s="83" customFormat="1" ht="57.75" x14ac:dyDescent="0.25">
      <c r="B196" s="26">
        <v>22302</v>
      </c>
      <c r="C196" s="79" t="s">
        <v>205</v>
      </c>
      <c r="D196" s="26">
        <v>0</v>
      </c>
      <c r="E196" s="26">
        <v>3</v>
      </c>
      <c r="F196" s="26" t="s">
        <v>206</v>
      </c>
      <c r="G196" s="62" t="s">
        <v>202</v>
      </c>
      <c r="H196" s="80" t="s">
        <v>43</v>
      </c>
      <c r="I196" s="151" t="s">
        <v>44</v>
      </c>
      <c r="J196" s="152"/>
      <c r="K196" s="81">
        <v>283</v>
      </c>
      <c r="L196" s="81">
        <f t="shared" si="50"/>
        <v>849</v>
      </c>
      <c r="M196" s="82"/>
      <c r="N196" s="41">
        <f t="shared" si="51"/>
        <v>0.25</v>
      </c>
      <c r="O196" s="41">
        <f t="shared" si="52"/>
        <v>70.75</v>
      </c>
      <c r="P196" s="41">
        <f t="shared" si="53"/>
        <v>0.25</v>
      </c>
      <c r="Q196" s="41">
        <f t="shared" si="54"/>
        <v>70.75</v>
      </c>
      <c r="R196" s="41">
        <f t="shared" si="55"/>
        <v>0.25</v>
      </c>
      <c r="S196" s="41">
        <f t="shared" si="56"/>
        <v>70.75</v>
      </c>
      <c r="T196" s="43">
        <f t="shared" si="57"/>
        <v>0.25</v>
      </c>
      <c r="U196" s="41">
        <f t="shared" si="58"/>
        <v>70.75</v>
      </c>
      <c r="V196" s="41">
        <f t="shared" si="59"/>
        <v>0.25</v>
      </c>
      <c r="W196" s="41">
        <f t="shared" si="60"/>
        <v>70.75</v>
      </c>
      <c r="X196" s="43">
        <f t="shared" si="61"/>
        <v>0.25</v>
      </c>
      <c r="Y196" s="41">
        <f t="shared" si="62"/>
        <v>70.75</v>
      </c>
      <c r="Z196" s="43">
        <f t="shared" si="63"/>
        <v>0.25</v>
      </c>
      <c r="AA196" s="41">
        <f t="shared" si="64"/>
        <v>70.75</v>
      </c>
      <c r="AB196" s="43">
        <f t="shared" si="65"/>
        <v>0.25</v>
      </c>
      <c r="AC196" s="41">
        <f t="shared" si="66"/>
        <v>70.75</v>
      </c>
      <c r="AD196" s="41">
        <f t="shared" si="67"/>
        <v>0.25</v>
      </c>
      <c r="AE196" s="41">
        <f t="shared" si="68"/>
        <v>70.75</v>
      </c>
      <c r="AF196" s="41">
        <f t="shared" si="69"/>
        <v>0.25</v>
      </c>
      <c r="AG196" s="41">
        <f t="shared" si="70"/>
        <v>70.75</v>
      </c>
      <c r="AH196" s="41">
        <f t="shared" si="71"/>
        <v>0.25</v>
      </c>
      <c r="AI196" s="41">
        <f t="shared" si="72"/>
        <v>70.75</v>
      </c>
      <c r="AJ196" s="41">
        <f t="shared" si="73"/>
        <v>0.25</v>
      </c>
      <c r="AK196" s="41">
        <f t="shared" si="74"/>
        <v>70.75</v>
      </c>
      <c r="AL196" s="33">
        <f t="shared" si="16"/>
        <v>849</v>
      </c>
      <c r="AM196" s="108"/>
      <c r="AN196" s="108"/>
    </row>
    <row r="197" spans="2:40" s="83" customFormat="1" ht="57.75" x14ac:dyDescent="0.25">
      <c r="B197" s="26">
        <v>22302</v>
      </c>
      <c r="C197" s="79" t="s">
        <v>207</v>
      </c>
      <c r="D197" s="26">
        <v>0</v>
      </c>
      <c r="E197" s="26">
        <v>1</v>
      </c>
      <c r="F197" s="26" t="s">
        <v>49</v>
      </c>
      <c r="G197" s="62" t="s">
        <v>202</v>
      </c>
      <c r="H197" s="80" t="s">
        <v>43</v>
      </c>
      <c r="I197" s="151" t="s">
        <v>44</v>
      </c>
      <c r="J197" s="152"/>
      <c r="K197" s="81">
        <v>1697</v>
      </c>
      <c r="L197" s="81">
        <f t="shared" si="50"/>
        <v>1697</v>
      </c>
      <c r="M197" s="82"/>
      <c r="N197" s="41">
        <f t="shared" si="51"/>
        <v>8.3333333333333329E-2</v>
      </c>
      <c r="O197" s="41">
        <f t="shared" si="52"/>
        <v>141.41666666666666</v>
      </c>
      <c r="P197" s="41">
        <f t="shared" si="53"/>
        <v>8.3333333333333329E-2</v>
      </c>
      <c r="Q197" s="41">
        <f t="shared" si="54"/>
        <v>141.41666666666666</v>
      </c>
      <c r="R197" s="41">
        <f t="shared" si="55"/>
        <v>8.3333333333333329E-2</v>
      </c>
      <c r="S197" s="41">
        <f t="shared" si="56"/>
        <v>141.41666666666666</v>
      </c>
      <c r="T197" s="43">
        <f t="shared" si="57"/>
        <v>8.3333333333333329E-2</v>
      </c>
      <c r="U197" s="41">
        <f t="shared" si="58"/>
        <v>141.41666666666666</v>
      </c>
      <c r="V197" s="41">
        <f t="shared" si="59"/>
        <v>8.3333333333333329E-2</v>
      </c>
      <c r="W197" s="41">
        <f t="shared" si="60"/>
        <v>141.41666666666666</v>
      </c>
      <c r="X197" s="43">
        <f t="shared" si="61"/>
        <v>8.3333333333333329E-2</v>
      </c>
      <c r="Y197" s="41">
        <f t="shared" si="62"/>
        <v>141.41666666666666</v>
      </c>
      <c r="Z197" s="43">
        <f t="shared" si="63"/>
        <v>8.3333333333333329E-2</v>
      </c>
      <c r="AA197" s="41">
        <f t="shared" si="64"/>
        <v>141.41666666666666</v>
      </c>
      <c r="AB197" s="43">
        <f t="shared" si="65"/>
        <v>8.3333333333333329E-2</v>
      </c>
      <c r="AC197" s="41">
        <f t="shared" si="66"/>
        <v>141.41666666666666</v>
      </c>
      <c r="AD197" s="41">
        <f t="shared" si="67"/>
        <v>8.3333333333333329E-2</v>
      </c>
      <c r="AE197" s="41">
        <f t="shared" si="68"/>
        <v>141.41666666666666</v>
      </c>
      <c r="AF197" s="41">
        <f t="shared" si="69"/>
        <v>8.3333333333333329E-2</v>
      </c>
      <c r="AG197" s="41">
        <f t="shared" si="70"/>
        <v>141.41666666666666</v>
      </c>
      <c r="AH197" s="41">
        <f t="shared" si="71"/>
        <v>8.3333333333333329E-2</v>
      </c>
      <c r="AI197" s="41">
        <f t="shared" si="72"/>
        <v>141.41666666666666</v>
      </c>
      <c r="AJ197" s="41">
        <f t="shared" si="73"/>
        <v>8.3333333333333329E-2</v>
      </c>
      <c r="AK197" s="41">
        <f t="shared" si="74"/>
        <v>141.41666666666666</v>
      </c>
      <c r="AL197" s="33">
        <f t="shared" si="16"/>
        <v>1697.0000000000002</v>
      </c>
      <c r="AM197" s="108"/>
      <c r="AN197" s="108"/>
    </row>
    <row r="198" spans="2:40" s="83" customFormat="1" ht="57.75" x14ac:dyDescent="0.25">
      <c r="B198" s="26">
        <v>22302</v>
      </c>
      <c r="C198" s="79" t="s">
        <v>208</v>
      </c>
      <c r="D198" s="26">
        <v>0</v>
      </c>
      <c r="E198" s="26">
        <v>1</v>
      </c>
      <c r="F198" s="26" t="s">
        <v>49</v>
      </c>
      <c r="G198" s="62" t="s">
        <v>202</v>
      </c>
      <c r="H198" s="80" t="s">
        <v>43</v>
      </c>
      <c r="I198" s="151" t="s">
        <v>44</v>
      </c>
      <c r="J198" s="152"/>
      <c r="K198" s="81">
        <v>1249</v>
      </c>
      <c r="L198" s="81">
        <f t="shared" si="50"/>
        <v>1249</v>
      </c>
      <c r="M198" s="82"/>
      <c r="N198" s="41"/>
      <c r="O198" s="41"/>
      <c r="P198" s="41"/>
      <c r="Q198" s="41"/>
      <c r="R198" s="41"/>
      <c r="S198" s="41"/>
      <c r="T198" s="43">
        <v>1</v>
      </c>
      <c r="U198" s="41">
        <f t="shared" si="58"/>
        <v>1249</v>
      </c>
      <c r="V198" s="41"/>
      <c r="W198" s="41"/>
      <c r="X198" s="43"/>
      <c r="Y198" s="41"/>
      <c r="Z198" s="43"/>
      <c r="AA198" s="41"/>
      <c r="AB198" s="43"/>
      <c r="AC198" s="41"/>
      <c r="AD198" s="41"/>
      <c r="AE198" s="41"/>
      <c r="AF198" s="41"/>
      <c r="AG198" s="41"/>
      <c r="AH198" s="41"/>
      <c r="AI198" s="41"/>
      <c r="AJ198" s="41"/>
      <c r="AK198" s="41"/>
      <c r="AL198" s="33">
        <f t="shared" si="16"/>
        <v>1249</v>
      </c>
      <c r="AM198" s="108"/>
      <c r="AN198" s="108"/>
    </row>
    <row r="199" spans="2:40" s="83" customFormat="1" ht="57.75" x14ac:dyDescent="0.25">
      <c r="B199" s="26">
        <v>22302</v>
      </c>
      <c r="C199" s="79" t="s">
        <v>209</v>
      </c>
      <c r="D199" s="26">
        <v>0</v>
      </c>
      <c r="E199" s="26">
        <v>2</v>
      </c>
      <c r="F199" s="26" t="s">
        <v>49</v>
      </c>
      <c r="G199" s="62" t="s">
        <v>202</v>
      </c>
      <c r="H199" s="80" t="s">
        <v>43</v>
      </c>
      <c r="I199" s="151" t="s">
        <v>44</v>
      </c>
      <c r="J199" s="152"/>
      <c r="K199" s="81">
        <v>225</v>
      </c>
      <c r="L199" s="81">
        <f t="shared" si="50"/>
        <v>450</v>
      </c>
      <c r="M199" s="82"/>
      <c r="N199" s="41"/>
      <c r="O199" s="41"/>
      <c r="P199" s="41"/>
      <c r="Q199" s="41"/>
      <c r="R199" s="41"/>
      <c r="S199" s="41"/>
      <c r="T199" s="43">
        <v>2</v>
      </c>
      <c r="U199" s="41">
        <f t="shared" si="58"/>
        <v>450</v>
      </c>
      <c r="V199" s="41"/>
      <c r="W199" s="41"/>
      <c r="X199" s="43"/>
      <c r="Y199" s="41"/>
      <c r="Z199" s="43"/>
      <c r="AA199" s="41"/>
      <c r="AB199" s="43"/>
      <c r="AC199" s="41"/>
      <c r="AD199" s="41"/>
      <c r="AE199" s="41"/>
      <c r="AF199" s="41"/>
      <c r="AG199" s="41"/>
      <c r="AH199" s="41"/>
      <c r="AI199" s="41"/>
      <c r="AJ199" s="41"/>
      <c r="AK199" s="41"/>
      <c r="AL199" s="33">
        <f t="shared" si="16"/>
        <v>450</v>
      </c>
      <c r="AM199" s="108"/>
      <c r="AN199" s="108"/>
    </row>
    <row r="200" spans="2:40" s="83" customFormat="1" ht="57.75" x14ac:dyDescent="0.25">
      <c r="B200" s="26">
        <v>22302</v>
      </c>
      <c r="C200" s="26" t="s">
        <v>210</v>
      </c>
      <c r="D200" s="26">
        <v>0</v>
      </c>
      <c r="E200" s="26">
        <v>4</v>
      </c>
      <c r="F200" s="26" t="s">
        <v>41</v>
      </c>
      <c r="G200" s="62" t="s">
        <v>202</v>
      </c>
      <c r="H200" s="80" t="s">
        <v>43</v>
      </c>
      <c r="I200" s="151" t="s">
        <v>44</v>
      </c>
      <c r="J200" s="152"/>
      <c r="K200" s="81">
        <v>170</v>
      </c>
      <c r="L200" s="81">
        <f t="shared" si="50"/>
        <v>680</v>
      </c>
      <c r="M200" s="82"/>
      <c r="N200" s="41"/>
      <c r="O200" s="41"/>
      <c r="P200" s="41"/>
      <c r="Q200" s="41"/>
      <c r="R200" s="41"/>
      <c r="S200" s="41"/>
      <c r="T200" s="43">
        <v>2</v>
      </c>
      <c r="U200" s="41">
        <f t="shared" si="58"/>
        <v>340</v>
      </c>
      <c r="V200" s="41"/>
      <c r="W200" s="41"/>
      <c r="X200" s="43"/>
      <c r="Y200" s="41"/>
      <c r="Z200" s="43"/>
      <c r="AA200" s="41"/>
      <c r="AB200" s="43"/>
      <c r="AC200" s="41"/>
      <c r="AD200" s="41"/>
      <c r="AE200" s="41"/>
      <c r="AF200" s="41"/>
      <c r="AG200" s="41"/>
      <c r="AH200" s="41"/>
      <c r="AI200" s="41"/>
      <c r="AJ200" s="41"/>
      <c r="AK200" s="41"/>
      <c r="AL200" s="33">
        <f t="shared" si="16"/>
        <v>340</v>
      </c>
      <c r="AM200" s="108"/>
      <c r="AN200" s="108"/>
    </row>
    <row r="201" spans="2:40" s="83" customFormat="1" ht="57.75" x14ac:dyDescent="0.25">
      <c r="B201" s="26">
        <v>22303</v>
      </c>
      <c r="C201" s="119" t="s">
        <v>499</v>
      </c>
      <c r="D201" s="26"/>
      <c r="E201" s="26">
        <v>1</v>
      </c>
      <c r="F201" s="26" t="s">
        <v>49</v>
      </c>
      <c r="G201" s="62" t="s">
        <v>89</v>
      </c>
      <c r="H201" s="80" t="s">
        <v>43</v>
      </c>
      <c r="I201" s="151" t="s">
        <v>44</v>
      </c>
      <c r="J201" s="152"/>
      <c r="K201" s="81">
        <v>1</v>
      </c>
      <c r="L201" s="81">
        <f t="shared" si="50"/>
        <v>1</v>
      </c>
      <c r="M201" s="82"/>
      <c r="N201" s="41"/>
      <c r="O201" s="41"/>
      <c r="P201" s="41"/>
      <c r="Q201" s="41"/>
      <c r="R201" s="41"/>
      <c r="S201" s="41"/>
      <c r="T201" s="43"/>
      <c r="U201" s="41"/>
      <c r="V201" s="41"/>
      <c r="W201" s="41"/>
      <c r="X201" s="43"/>
      <c r="Y201" s="41"/>
      <c r="Z201" s="43"/>
      <c r="AA201" s="41"/>
      <c r="AB201" s="43"/>
      <c r="AC201" s="41"/>
      <c r="AD201" s="41"/>
      <c r="AE201" s="41"/>
      <c r="AF201" s="41"/>
      <c r="AG201" s="41"/>
      <c r="AH201" s="41"/>
      <c r="AI201" s="41"/>
      <c r="AJ201" s="41"/>
      <c r="AK201" s="41"/>
      <c r="AL201" s="33"/>
      <c r="AM201" s="108"/>
      <c r="AN201" s="108"/>
    </row>
    <row r="202" spans="2:40" x14ac:dyDescent="0.25">
      <c r="B202" s="19">
        <v>24000</v>
      </c>
      <c r="C202" s="19"/>
      <c r="D202" s="19"/>
      <c r="E202" s="19"/>
      <c r="F202" s="19"/>
      <c r="G202" s="58"/>
      <c r="H202" s="59"/>
      <c r="I202" s="145"/>
      <c r="J202" s="146"/>
      <c r="K202" s="20"/>
      <c r="L202" s="21">
        <f>L203+L213+L219+L224+L228+L233+L264+L284+L303</f>
        <v>238044.77529999998</v>
      </c>
      <c r="M202" s="60">
        <f>M203+M213+M224+M228+M233+M264+M284+M303+M219</f>
        <v>133514</v>
      </c>
      <c r="N202" s="41"/>
      <c r="O202" s="41"/>
      <c r="P202" s="41"/>
      <c r="Q202" s="41"/>
      <c r="R202" s="41"/>
      <c r="S202" s="41"/>
      <c r="T202" s="43"/>
      <c r="U202" s="41"/>
      <c r="V202" s="41"/>
      <c r="W202" s="41"/>
      <c r="X202" s="43"/>
      <c r="Y202" s="41"/>
      <c r="Z202" s="43"/>
      <c r="AA202" s="41"/>
      <c r="AB202" s="43"/>
      <c r="AC202" s="41"/>
      <c r="AD202" s="41"/>
      <c r="AE202" s="41"/>
      <c r="AF202" s="41"/>
      <c r="AG202" s="41"/>
      <c r="AH202" s="41"/>
      <c r="AI202" s="41"/>
      <c r="AJ202" s="41"/>
      <c r="AK202" s="41"/>
      <c r="AL202" s="33"/>
    </row>
    <row r="203" spans="2:40" x14ac:dyDescent="0.25">
      <c r="B203" s="19">
        <v>24100</v>
      </c>
      <c r="C203" s="19"/>
      <c r="D203" s="19"/>
      <c r="E203" s="19"/>
      <c r="F203" s="19"/>
      <c r="G203" s="58"/>
      <c r="H203" s="59"/>
      <c r="I203" s="145"/>
      <c r="J203" s="146"/>
      <c r="K203" s="20"/>
      <c r="L203" s="21">
        <f>L204+L211+L209</f>
        <v>48152</v>
      </c>
      <c r="M203" s="60">
        <f>M204</f>
        <v>30002</v>
      </c>
      <c r="N203" s="41"/>
      <c r="O203" s="41"/>
      <c r="P203" s="41"/>
      <c r="Q203" s="41"/>
      <c r="R203" s="41"/>
      <c r="S203" s="41"/>
      <c r="T203" s="43"/>
      <c r="U203" s="41"/>
      <c r="V203" s="41"/>
      <c r="W203" s="41"/>
      <c r="X203" s="43"/>
      <c r="Y203" s="41"/>
      <c r="Z203" s="43"/>
      <c r="AA203" s="41"/>
      <c r="AB203" s="43"/>
      <c r="AC203" s="41"/>
      <c r="AD203" s="41"/>
      <c r="AE203" s="41"/>
      <c r="AF203" s="41"/>
      <c r="AG203" s="41"/>
      <c r="AH203" s="41"/>
      <c r="AI203" s="41"/>
      <c r="AJ203" s="41"/>
      <c r="AK203" s="41"/>
      <c r="AL203" s="33"/>
    </row>
    <row r="204" spans="2:40" x14ac:dyDescent="0.25">
      <c r="B204" s="19">
        <v>24101</v>
      </c>
      <c r="C204" s="19"/>
      <c r="D204" s="19"/>
      <c r="E204" s="19"/>
      <c r="F204" s="19"/>
      <c r="G204" s="58"/>
      <c r="H204" s="59"/>
      <c r="I204" s="145"/>
      <c r="J204" s="146"/>
      <c r="K204" s="20"/>
      <c r="L204" s="21">
        <f>SUM(L205:L208)</f>
        <v>40152</v>
      </c>
      <c r="M204" s="44">
        <v>30002</v>
      </c>
      <c r="N204" s="41"/>
      <c r="O204" s="41"/>
      <c r="P204" s="41"/>
      <c r="Q204" s="41"/>
      <c r="R204" s="41"/>
      <c r="S204" s="41"/>
      <c r="T204" s="43"/>
      <c r="U204" s="41"/>
      <c r="V204" s="41"/>
      <c r="W204" s="41"/>
      <c r="X204" s="43"/>
      <c r="Y204" s="41"/>
      <c r="Z204" s="43"/>
      <c r="AA204" s="41"/>
      <c r="AB204" s="43"/>
      <c r="AC204" s="41"/>
      <c r="AD204" s="41"/>
      <c r="AE204" s="41"/>
      <c r="AF204" s="41"/>
      <c r="AG204" s="41"/>
      <c r="AH204" s="41"/>
      <c r="AI204" s="41"/>
      <c r="AJ204" s="41"/>
      <c r="AK204" s="41"/>
      <c r="AL204" s="33"/>
    </row>
    <row r="205" spans="2:40" ht="57.75" x14ac:dyDescent="0.25">
      <c r="B205" s="14">
        <v>24101</v>
      </c>
      <c r="C205" s="26" t="s">
        <v>211</v>
      </c>
      <c r="D205" s="14">
        <v>0</v>
      </c>
      <c r="E205" s="14">
        <v>1</v>
      </c>
      <c r="F205" s="14" t="s">
        <v>546</v>
      </c>
      <c r="G205" s="27" t="s">
        <v>212</v>
      </c>
      <c r="H205" s="28" t="s">
        <v>43</v>
      </c>
      <c r="I205" s="143" t="s">
        <v>44</v>
      </c>
      <c r="J205" s="144"/>
      <c r="K205" s="17">
        <v>3152</v>
      </c>
      <c r="L205" s="17">
        <f>E205*K205</f>
        <v>3152</v>
      </c>
      <c r="M205" s="40"/>
      <c r="N205" s="41"/>
      <c r="O205" s="41"/>
      <c r="P205" s="41"/>
      <c r="Q205" s="41"/>
      <c r="R205" s="41"/>
      <c r="S205" s="41"/>
      <c r="T205" s="45">
        <v>3</v>
      </c>
      <c r="U205" s="41">
        <f t="shared" ref="U205:U208" si="75">K205*T205</f>
        <v>9456</v>
      </c>
      <c r="V205" s="41"/>
      <c r="W205" s="41"/>
      <c r="X205" s="43"/>
      <c r="Y205" s="41"/>
      <c r="Z205" s="43"/>
      <c r="AA205" s="41"/>
      <c r="AB205" s="45">
        <v>3</v>
      </c>
      <c r="AC205" s="41">
        <f t="shared" ref="AC205:AC208" si="76">K205*AB205</f>
        <v>9456</v>
      </c>
      <c r="AD205" s="41"/>
      <c r="AE205" s="41"/>
      <c r="AF205" s="41"/>
      <c r="AG205" s="41"/>
      <c r="AH205" s="41"/>
      <c r="AI205" s="41"/>
      <c r="AJ205" s="41"/>
      <c r="AK205" s="41"/>
      <c r="AL205" s="33">
        <f t="shared" si="16"/>
        <v>18912</v>
      </c>
    </row>
    <row r="206" spans="2:40" ht="57.75" x14ac:dyDescent="0.25">
      <c r="B206" s="14">
        <v>24101</v>
      </c>
      <c r="C206" s="14" t="s">
        <v>213</v>
      </c>
      <c r="D206" s="14">
        <v>0</v>
      </c>
      <c r="E206" s="14">
        <v>2</v>
      </c>
      <c r="F206" s="14" t="s">
        <v>49</v>
      </c>
      <c r="G206" s="27" t="s">
        <v>212</v>
      </c>
      <c r="H206" s="28" t="s">
        <v>43</v>
      </c>
      <c r="I206" s="143" t="s">
        <v>44</v>
      </c>
      <c r="J206" s="144"/>
      <c r="K206" s="17">
        <v>3500</v>
      </c>
      <c r="L206" s="17">
        <f>E206*K206</f>
        <v>7000</v>
      </c>
      <c r="M206" s="40"/>
      <c r="N206" s="41"/>
      <c r="O206" s="41"/>
      <c r="P206" s="41"/>
      <c r="Q206" s="41"/>
      <c r="R206" s="41"/>
      <c r="S206" s="41"/>
      <c r="T206" s="45">
        <v>3</v>
      </c>
      <c r="U206" s="41">
        <f t="shared" si="75"/>
        <v>10500</v>
      </c>
      <c r="V206" s="41"/>
      <c r="W206" s="41"/>
      <c r="X206" s="43"/>
      <c r="Y206" s="41"/>
      <c r="Z206" s="43"/>
      <c r="AA206" s="41"/>
      <c r="AB206" s="45">
        <v>3</v>
      </c>
      <c r="AC206" s="41">
        <f t="shared" si="76"/>
        <v>10500</v>
      </c>
      <c r="AD206" s="41"/>
      <c r="AE206" s="41"/>
      <c r="AF206" s="41"/>
      <c r="AG206" s="41"/>
      <c r="AH206" s="41"/>
      <c r="AI206" s="41"/>
      <c r="AJ206" s="41"/>
      <c r="AK206" s="41"/>
      <c r="AL206" s="33">
        <f t="shared" si="16"/>
        <v>21000</v>
      </c>
    </row>
    <row r="207" spans="2:40" ht="57.75" x14ac:dyDescent="0.25">
      <c r="B207" s="14">
        <v>24101</v>
      </c>
      <c r="C207" s="14" t="s">
        <v>214</v>
      </c>
      <c r="D207" s="14"/>
      <c r="E207" s="14">
        <v>4</v>
      </c>
      <c r="F207" s="14" t="s">
        <v>49</v>
      </c>
      <c r="G207" s="27" t="s">
        <v>212</v>
      </c>
      <c r="H207" s="28" t="s">
        <v>43</v>
      </c>
      <c r="I207" s="143" t="s">
        <v>44</v>
      </c>
      <c r="J207" s="144"/>
      <c r="K207" s="17">
        <v>5000</v>
      </c>
      <c r="L207" s="17">
        <f>E207*K207</f>
        <v>20000</v>
      </c>
      <c r="M207" s="40"/>
      <c r="N207" s="41"/>
      <c r="O207" s="41"/>
      <c r="P207" s="41"/>
      <c r="Q207" s="41"/>
      <c r="R207" s="41"/>
      <c r="S207" s="41"/>
      <c r="T207" s="45">
        <v>3</v>
      </c>
      <c r="U207" s="41">
        <f t="shared" si="75"/>
        <v>15000</v>
      </c>
      <c r="V207" s="41"/>
      <c r="W207" s="41"/>
      <c r="X207" s="43"/>
      <c r="Y207" s="41"/>
      <c r="Z207" s="43"/>
      <c r="AA207" s="41"/>
      <c r="AB207" s="45">
        <v>3</v>
      </c>
      <c r="AC207" s="41">
        <f t="shared" si="76"/>
        <v>15000</v>
      </c>
      <c r="AD207" s="41"/>
      <c r="AE207" s="41"/>
      <c r="AF207" s="41"/>
      <c r="AG207" s="41"/>
      <c r="AH207" s="41"/>
      <c r="AI207" s="41"/>
      <c r="AJ207" s="41"/>
      <c r="AK207" s="41"/>
      <c r="AL207" s="33">
        <f t="shared" si="16"/>
        <v>30000</v>
      </c>
    </row>
    <row r="208" spans="2:40" ht="57.75" x14ac:dyDescent="0.25">
      <c r="B208" s="14">
        <v>24101</v>
      </c>
      <c r="C208" s="14" t="s">
        <v>215</v>
      </c>
      <c r="D208" s="14">
        <v>0</v>
      </c>
      <c r="E208" s="14">
        <v>4</v>
      </c>
      <c r="F208" s="14" t="s">
        <v>49</v>
      </c>
      <c r="G208" s="27" t="s">
        <v>212</v>
      </c>
      <c r="H208" s="28" t="s">
        <v>43</v>
      </c>
      <c r="I208" s="143" t="s">
        <v>44</v>
      </c>
      <c r="J208" s="144"/>
      <c r="K208" s="17">
        <v>2500</v>
      </c>
      <c r="L208" s="17">
        <f>E208*K208</f>
        <v>10000</v>
      </c>
      <c r="M208" s="40"/>
      <c r="N208" s="41"/>
      <c r="O208" s="41"/>
      <c r="P208" s="41"/>
      <c r="Q208" s="41"/>
      <c r="R208" s="41"/>
      <c r="S208" s="41"/>
      <c r="T208" s="45">
        <v>3</v>
      </c>
      <c r="U208" s="41">
        <f t="shared" si="75"/>
        <v>7500</v>
      </c>
      <c r="V208" s="41"/>
      <c r="W208" s="41"/>
      <c r="X208" s="43"/>
      <c r="Y208" s="41"/>
      <c r="Z208" s="43"/>
      <c r="AA208" s="41"/>
      <c r="AB208" s="45">
        <v>3</v>
      </c>
      <c r="AC208" s="41">
        <f t="shared" si="76"/>
        <v>7500</v>
      </c>
      <c r="AD208" s="41"/>
      <c r="AE208" s="41"/>
      <c r="AF208" s="41"/>
      <c r="AG208" s="41"/>
      <c r="AH208" s="41"/>
      <c r="AI208" s="41"/>
      <c r="AJ208" s="41"/>
      <c r="AK208" s="41"/>
      <c r="AL208" s="33">
        <f t="shared" si="16"/>
        <v>15000</v>
      </c>
    </row>
    <row r="209" spans="2:38" x14ac:dyDescent="0.25">
      <c r="B209" s="19">
        <v>24102</v>
      </c>
      <c r="C209" s="19"/>
      <c r="D209" s="19"/>
      <c r="E209" s="19"/>
      <c r="F209" s="19"/>
      <c r="G209" s="58"/>
      <c r="H209" s="59"/>
      <c r="I209" s="145"/>
      <c r="J209" s="146"/>
      <c r="K209" s="20"/>
      <c r="L209" s="21">
        <f>L210</f>
        <v>8000</v>
      </c>
      <c r="M209" s="40"/>
      <c r="N209" s="41"/>
      <c r="O209" s="41"/>
      <c r="P209" s="41"/>
      <c r="Q209" s="41"/>
      <c r="R209" s="41"/>
      <c r="S209" s="41"/>
      <c r="T209" s="43"/>
      <c r="U209" s="41"/>
      <c r="V209" s="41"/>
      <c r="W209" s="41"/>
      <c r="X209" s="43"/>
      <c r="Y209" s="41"/>
      <c r="Z209" s="43"/>
      <c r="AA209" s="41"/>
      <c r="AB209" s="43"/>
      <c r="AC209" s="41"/>
      <c r="AD209" s="41"/>
      <c r="AE209" s="41"/>
      <c r="AF209" s="41"/>
      <c r="AG209" s="41"/>
      <c r="AH209" s="41"/>
      <c r="AI209" s="41"/>
      <c r="AJ209" s="41"/>
      <c r="AK209" s="41"/>
      <c r="AL209" s="33"/>
    </row>
    <row r="210" spans="2:38" ht="57.75" x14ac:dyDescent="0.25">
      <c r="B210" s="14">
        <v>24102</v>
      </c>
      <c r="C210" s="14" t="s">
        <v>216</v>
      </c>
      <c r="D210" s="14">
        <v>0</v>
      </c>
      <c r="E210" s="14">
        <v>10</v>
      </c>
      <c r="F210" s="14" t="s">
        <v>49</v>
      </c>
      <c r="G210" s="27" t="s">
        <v>212</v>
      </c>
      <c r="H210" s="28" t="s">
        <v>43</v>
      </c>
      <c r="I210" s="143" t="s">
        <v>44</v>
      </c>
      <c r="J210" s="144"/>
      <c r="K210" s="17">
        <v>800</v>
      </c>
      <c r="L210" s="17">
        <f>E210*K210</f>
        <v>8000</v>
      </c>
      <c r="M210" s="40"/>
      <c r="N210" s="41"/>
      <c r="O210" s="41"/>
      <c r="P210" s="41"/>
      <c r="Q210" s="41"/>
      <c r="R210" s="41"/>
      <c r="S210" s="41"/>
      <c r="T210" s="45"/>
      <c r="U210" s="41"/>
      <c r="V210" s="41"/>
      <c r="W210" s="41"/>
      <c r="X210" s="43"/>
      <c r="Y210" s="41"/>
      <c r="Z210" s="43"/>
      <c r="AA210" s="41"/>
      <c r="AB210" s="45"/>
      <c r="AC210" s="41"/>
      <c r="AD210" s="41"/>
      <c r="AE210" s="41"/>
      <c r="AF210" s="41"/>
      <c r="AG210" s="41"/>
      <c r="AH210" s="41"/>
      <c r="AI210" s="41"/>
      <c r="AJ210" s="41"/>
      <c r="AK210" s="41"/>
      <c r="AL210" s="33"/>
    </row>
    <row r="211" spans="2:38" x14ac:dyDescent="0.25">
      <c r="B211" s="19">
        <v>24103</v>
      </c>
      <c r="C211" s="19"/>
      <c r="D211" s="19"/>
      <c r="E211" s="19"/>
      <c r="F211" s="19"/>
      <c r="G211" s="58"/>
      <c r="H211" s="59"/>
      <c r="I211" s="145"/>
      <c r="J211" s="146"/>
      <c r="K211" s="20"/>
      <c r="L211" s="21">
        <f>SUM(L212:L212)</f>
        <v>0</v>
      </c>
      <c r="M211" s="40"/>
      <c r="N211" s="41"/>
      <c r="O211" s="41"/>
      <c r="P211" s="41"/>
      <c r="Q211" s="41"/>
      <c r="R211" s="41"/>
      <c r="S211" s="41"/>
      <c r="T211" s="43"/>
      <c r="U211" s="41"/>
      <c r="V211" s="41"/>
      <c r="W211" s="41"/>
      <c r="X211" s="43"/>
      <c r="Y211" s="41"/>
      <c r="Z211" s="43"/>
      <c r="AA211" s="41"/>
      <c r="AB211" s="43"/>
      <c r="AC211" s="41"/>
      <c r="AD211" s="41"/>
      <c r="AE211" s="41"/>
      <c r="AF211" s="41"/>
      <c r="AG211" s="41"/>
      <c r="AH211" s="41"/>
      <c r="AI211" s="41"/>
      <c r="AJ211" s="41"/>
      <c r="AK211" s="41"/>
      <c r="AL211" s="33"/>
    </row>
    <row r="212" spans="2:38" ht="57.75" x14ac:dyDescent="0.25">
      <c r="B212" s="14">
        <v>24103</v>
      </c>
      <c r="C212" s="14" t="s">
        <v>217</v>
      </c>
      <c r="D212" s="14">
        <v>0</v>
      </c>
      <c r="E212" s="14">
        <v>0</v>
      </c>
      <c r="F212" s="14" t="s">
        <v>186</v>
      </c>
      <c r="G212" s="27" t="s">
        <v>212</v>
      </c>
      <c r="H212" s="28" t="s">
        <v>43</v>
      </c>
      <c r="I212" s="143" t="s">
        <v>44</v>
      </c>
      <c r="J212" s="144"/>
      <c r="K212" s="17">
        <v>0</v>
      </c>
      <c r="L212" s="17">
        <f>E212*K212</f>
        <v>0</v>
      </c>
      <c r="M212" s="40"/>
      <c r="N212" s="41"/>
      <c r="O212" s="41"/>
      <c r="P212" s="41"/>
      <c r="Q212" s="41"/>
      <c r="R212" s="84"/>
      <c r="S212" s="41"/>
      <c r="T212" s="45">
        <v>15</v>
      </c>
      <c r="U212" s="41">
        <f>T212*K212</f>
        <v>0</v>
      </c>
      <c r="V212" s="41"/>
      <c r="W212" s="41"/>
      <c r="X212" s="43"/>
      <c r="Y212" s="41"/>
      <c r="Z212" s="43"/>
      <c r="AA212" s="41"/>
      <c r="AB212" s="45">
        <v>15</v>
      </c>
      <c r="AC212" s="41">
        <f>AB212*K212</f>
        <v>0</v>
      </c>
      <c r="AD212" s="41"/>
      <c r="AE212" s="41"/>
      <c r="AF212" s="41"/>
      <c r="AG212" s="41"/>
      <c r="AH212" s="41"/>
      <c r="AI212" s="41"/>
      <c r="AJ212" s="41"/>
      <c r="AK212" s="41"/>
      <c r="AL212" s="33">
        <f t="shared" si="16"/>
        <v>0</v>
      </c>
    </row>
    <row r="213" spans="2:38" x14ac:dyDescent="0.25">
      <c r="B213" s="19">
        <v>24200</v>
      </c>
      <c r="C213" s="19"/>
      <c r="D213" s="19"/>
      <c r="E213" s="19"/>
      <c r="F213" s="19"/>
      <c r="G213" s="58"/>
      <c r="H213" s="59"/>
      <c r="I213" s="145"/>
      <c r="J213" s="146"/>
      <c r="K213" s="20"/>
      <c r="L213" s="21">
        <f>L214</f>
        <v>7035</v>
      </c>
      <c r="M213" s="60">
        <f>M214</f>
        <v>4500</v>
      </c>
      <c r="N213" s="41"/>
      <c r="O213" s="41"/>
      <c r="P213" s="41"/>
      <c r="Q213" s="41"/>
      <c r="R213" s="41"/>
      <c r="S213" s="41"/>
      <c r="T213" s="43"/>
      <c r="U213" s="41"/>
      <c r="V213" s="41"/>
      <c r="W213" s="41"/>
      <c r="X213" s="43"/>
      <c r="Y213" s="41"/>
      <c r="Z213" s="43"/>
      <c r="AA213" s="41"/>
      <c r="AB213" s="43"/>
      <c r="AC213" s="41"/>
      <c r="AD213" s="41"/>
      <c r="AE213" s="41"/>
      <c r="AF213" s="41"/>
      <c r="AG213" s="41"/>
      <c r="AH213" s="41"/>
      <c r="AI213" s="41"/>
      <c r="AJ213" s="41"/>
      <c r="AK213" s="41"/>
      <c r="AL213" s="33"/>
    </row>
    <row r="214" spans="2:38" x14ac:dyDescent="0.25">
      <c r="B214" s="19">
        <v>24201</v>
      </c>
      <c r="C214" s="19"/>
      <c r="D214" s="19"/>
      <c r="E214" s="19"/>
      <c r="F214" s="19"/>
      <c r="G214" s="58"/>
      <c r="H214" s="59"/>
      <c r="I214" s="145"/>
      <c r="J214" s="146"/>
      <c r="K214" s="20"/>
      <c r="L214" s="21">
        <f>SUM(L215:L218)</f>
        <v>7035</v>
      </c>
      <c r="M214" s="44">
        <v>4500</v>
      </c>
      <c r="N214" s="41"/>
      <c r="O214" s="41"/>
      <c r="P214" s="41"/>
      <c r="Q214" s="41"/>
      <c r="R214" s="41"/>
      <c r="S214" s="41"/>
      <c r="T214" s="43"/>
      <c r="U214" s="41"/>
      <c r="V214" s="41"/>
      <c r="W214" s="41"/>
      <c r="X214" s="43"/>
      <c r="Y214" s="41"/>
      <c r="Z214" s="43"/>
      <c r="AA214" s="41"/>
      <c r="AB214" s="43"/>
      <c r="AC214" s="41"/>
      <c r="AD214" s="41"/>
      <c r="AE214" s="41"/>
      <c r="AF214" s="41"/>
      <c r="AG214" s="41"/>
      <c r="AH214" s="41"/>
      <c r="AI214" s="41"/>
      <c r="AJ214" s="41"/>
      <c r="AK214" s="41"/>
      <c r="AL214" s="33"/>
    </row>
    <row r="215" spans="2:38" ht="57.75" x14ac:dyDescent="0.25">
      <c r="B215" s="14">
        <v>24201</v>
      </c>
      <c r="C215" s="14" t="s">
        <v>218</v>
      </c>
      <c r="D215" s="14">
        <v>0</v>
      </c>
      <c r="E215" s="14">
        <v>1</v>
      </c>
      <c r="F215" s="14" t="s">
        <v>219</v>
      </c>
      <c r="G215" s="27" t="s">
        <v>212</v>
      </c>
      <c r="H215" s="28" t="s">
        <v>43</v>
      </c>
      <c r="I215" s="143" t="s">
        <v>44</v>
      </c>
      <c r="J215" s="144"/>
      <c r="K215" s="17">
        <v>995</v>
      </c>
      <c r="L215" s="17">
        <f>E215*K215</f>
        <v>995</v>
      </c>
      <c r="M215" s="40"/>
      <c r="N215" s="41"/>
      <c r="O215" s="41"/>
      <c r="P215" s="41"/>
      <c r="Q215" s="41"/>
      <c r="R215" s="41"/>
      <c r="S215" s="41"/>
      <c r="T215" s="45">
        <v>2</v>
      </c>
      <c r="U215" s="41">
        <f>T215*K215</f>
        <v>1990</v>
      </c>
      <c r="V215" s="41"/>
      <c r="W215" s="41"/>
      <c r="X215" s="43"/>
      <c r="Y215" s="41"/>
      <c r="Z215" s="43"/>
      <c r="AA215" s="41"/>
      <c r="AB215" s="45">
        <v>2</v>
      </c>
      <c r="AC215" s="41">
        <f>AB215*K215</f>
        <v>1990</v>
      </c>
      <c r="AD215" s="41"/>
      <c r="AE215" s="41"/>
      <c r="AF215" s="41"/>
      <c r="AG215" s="41"/>
      <c r="AH215" s="41"/>
      <c r="AI215" s="41"/>
      <c r="AJ215" s="41"/>
      <c r="AK215" s="41"/>
      <c r="AL215" s="33">
        <f t="shared" si="16"/>
        <v>3980</v>
      </c>
    </row>
    <row r="216" spans="2:38" ht="57.75" x14ac:dyDescent="0.25">
      <c r="B216" s="14">
        <v>24201</v>
      </c>
      <c r="C216" s="14" t="s">
        <v>220</v>
      </c>
      <c r="D216" s="14">
        <v>0</v>
      </c>
      <c r="E216" s="14">
        <v>8</v>
      </c>
      <c r="F216" s="14" t="s">
        <v>219</v>
      </c>
      <c r="G216" s="27" t="s">
        <v>212</v>
      </c>
      <c r="H216" s="28" t="s">
        <v>43</v>
      </c>
      <c r="I216" s="143" t="s">
        <v>44</v>
      </c>
      <c r="J216" s="144"/>
      <c r="K216" s="17">
        <v>402</v>
      </c>
      <c r="L216" s="17">
        <f>E216*K216</f>
        <v>3216</v>
      </c>
      <c r="M216" s="40"/>
      <c r="N216" s="41"/>
      <c r="O216" s="41"/>
      <c r="P216" s="41"/>
      <c r="Q216" s="41"/>
      <c r="R216" s="41"/>
      <c r="S216" s="41"/>
      <c r="T216" s="45">
        <v>4</v>
      </c>
      <c r="U216" s="41">
        <f t="shared" ref="U216:U223" si="77">T216*K216</f>
        <v>1608</v>
      </c>
      <c r="V216" s="41"/>
      <c r="W216" s="41"/>
      <c r="X216" s="43"/>
      <c r="Y216" s="41"/>
      <c r="Z216" s="43"/>
      <c r="AA216" s="41"/>
      <c r="AB216" s="45">
        <v>4</v>
      </c>
      <c r="AC216" s="41">
        <f t="shared" ref="AC216:AC218" si="78">AB216*K216</f>
        <v>1608</v>
      </c>
      <c r="AD216" s="41"/>
      <c r="AE216" s="41"/>
      <c r="AF216" s="41"/>
      <c r="AG216" s="41"/>
      <c r="AH216" s="41"/>
      <c r="AI216" s="41"/>
      <c r="AJ216" s="41"/>
      <c r="AK216" s="41"/>
      <c r="AL216" s="33">
        <f t="shared" si="16"/>
        <v>3216</v>
      </c>
    </row>
    <row r="217" spans="2:38" ht="57.75" x14ac:dyDescent="0.25">
      <c r="B217" s="14">
        <v>24201</v>
      </c>
      <c r="C217" s="14" t="s">
        <v>221</v>
      </c>
      <c r="D217" s="14">
        <v>0</v>
      </c>
      <c r="E217" s="14">
        <v>6</v>
      </c>
      <c r="F217" s="14" t="s">
        <v>219</v>
      </c>
      <c r="G217" s="27" t="s">
        <v>212</v>
      </c>
      <c r="H217" s="28" t="s">
        <v>43</v>
      </c>
      <c r="I217" s="143" t="s">
        <v>44</v>
      </c>
      <c r="J217" s="144"/>
      <c r="K217" s="17">
        <v>310</v>
      </c>
      <c r="L217" s="17">
        <f>E217*K217</f>
        <v>1860</v>
      </c>
      <c r="M217" s="40"/>
      <c r="N217" s="41"/>
      <c r="O217" s="41"/>
      <c r="P217" s="41"/>
      <c r="Q217" s="41"/>
      <c r="R217" s="41"/>
      <c r="S217" s="41"/>
      <c r="T217" s="45">
        <v>3</v>
      </c>
      <c r="U217" s="41">
        <f t="shared" si="77"/>
        <v>930</v>
      </c>
      <c r="V217" s="41"/>
      <c r="W217" s="41"/>
      <c r="X217" s="43"/>
      <c r="Y217" s="41"/>
      <c r="Z217" s="43"/>
      <c r="AA217" s="41"/>
      <c r="AB217" s="45">
        <v>3</v>
      </c>
      <c r="AC217" s="41">
        <f t="shared" si="78"/>
        <v>930</v>
      </c>
      <c r="AD217" s="41"/>
      <c r="AE217" s="41"/>
      <c r="AF217" s="41"/>
      <c r="AG217" s="41"/>
      <c r="AH217" s="41"/>
      <c r="AI217" s="41"/>
      <c r="AJ217" s="41"/>
      <c r="AK217" s="41"/>
      <c r="AL217" s="33">
        <f t="shared" si="16"/>
        <v>1860</v>
      </c>
    </row>
    <row r="218" spans="2:38" ht="57.75" x14ac:dyDescent="0.25">
      <c r="B218" s="14">
        <v>24201</v>
      </c>
      <c r="C218" s="14" t="s">
        <v>222</v>
      </c>
      <c r="D218" s="14">
        <v>0</v>
      </c>
      <c r="E218" s="14">
        <v>4</v>
      </c>
      <c r="F218" s="14" t="s">
        <v>219</v>
      </c>
      <c r="G218" s="27" t="s">
        <v>212</v>
      </c>
      <c r="H218" s="28" t="s">
        <v>43</v>
      </c>
      <c r="I218" s="143" t="s">
        <v>44</v>
      </c>
      <c r="J218" s="144"/>
      <c r="K218" s="17">
        <v>241</v>
      </c>
      <c r="L218" s="17">
        <f>E218*K218</f>
        <v>964</v>
      </c>
      <c r="M218" s="40"/>
      <c r="N218" s="41"/>
      <c r="O218" s="41"/>
      <c r="P218" s="41"/>
      <c r="Q218" s="41"/>
      <c r="R218" s="41"/>
      <c r="S218" s="41"/>
      <c r="T218" s="45">
        <v>2</v>
      </c>
      <c r="U218" s="41">
        <f t="shared" si="77"/>
        <v>482</v>
      </c>
      <c r="V218" s="41"/>
      <c r="W218" s="41"/>
      <c r="X218" s="43"/>
      <c r="Y218" s="41"/>
      <c r="Z218" s="43"/>
      <c r="AA218" s="41"/>
      <c r="AB218" s="45">
        <v>2</v>
      </c>
      <c r="AC218" s="41">
        <f t="shared" si="78"/>
        <v>482</v>
      </c>
      <c r="AD218" s="41"/>
      <c r="AE218" s="41"/>
      <c r="AF218" s="41"/>
      <c r="AG218" s="41"/>
      <c r="AH218" s="41"/>
      <c r="AI218" s="41"/>
      <c r="AJ218" s="41"/>
      <c r="AK218" s="41"/>
      <c r="AL218" s="33">
        <f t="shared" si="16"/>
        <v>964</v>
      </c>
    </row>
    <row r="219" spans="2:38" x14ac:dyDescent="0.25">
      <c r="B219" s="19">
        <v>24300</v>
      </c>
      <c r="C219" s="19"/>
      <c r="D219" s="19"/>
      <c r="E219" s="19"/>
      <c r="F219" s="19"/>
      <c r="G219" s="58"/>
      <c r="H219" s="68"/>
      <c r="I219" s="145"/>
      <c r="J219" s="146"/>
      <c r="K219" s="20"/>
      <c r="L219" s="21">
        <f>SUM(L220:L223)</f>
        <v>27008.28</v>
      </c>
      <c r="M219" s="60">
        <f>SUM(M220)</f>
        <v>5000</v>
      </c>
      <c r="N219" s="41"/>
      <c r="O219" s="41"/>
      <c r="P219" s="41"/>
      <c r="Q219" s="41"/>
      <c r="R219" s="41"/>
      <c r="S219" s="41"/>
      <c r="T219" s="43"/>
      <c r="U219" s="41"/>
      <c r="V219" s="41"/>
      <c r="W219" s="41"/>
      <c r="X219" s="43"/>
      <c r="Y219" s="41"/>
      <c r="Z219" s="43"/>
      <c r="AA219" s="41"/>
      <c r="AB219" s="43"/>
      <c r="AC219" s="41"/>
      <c r="AD219" s="41"/>
      <c r="AE219" s="41"/>
      <c r="AF219" s="41"/>
      <c r="AG219" s="41"/>
      <c r="AH219" s="41"/>
      <c r="AI219" s="41"/>
      <c r="AJ219" s="41"/>
      <c r="AK219" s="41"/>
      <c r="AL219" s="33"/>
    </row>
    <row r="220" spans="2:38" ht="57.75" x14ac:dyDescent="0.25">
      <c r="B220" s="14">
        <v>24301</v>
      </c>
      <c r="C220" s="14" t="s">
        <v>223</v>
      </c>
      <c r="D220" s="14">
        <v>0</v>
      </c>
      <c r="E220" s="14">
        <v>6</v>
      </c>
      <c r="F220" s="14" t="s">
        <v>219</v>
      </c>
      <c r="G220" s="27" t="s">
        <v>212</v>
      </c>
      <c r="H220" s="28" t="s">
        <v>43</v>
      </c>
      <c r="I220" s="143" t="s">
        <v>44</v>
      </c>
      <c r="J220" s="144"/>
      <c r="K220" s="17">
        <f>350+12.88</f>
        <v>362.88</v>
      </c>
      <c r="L220" s="17">
        <f>E220*K220</f>
        <v>2177.2799999999997</v>
      </c>
      <c r="M220" s="44">
        <v>5000</v>
      </c>
      <c r="N220" s="41"/>
      <c r="O220" s="41"/>
      <c r="P220" s="41"/>
      <c r="Q220" s="41"/>
      <c r="R220" s="41"/>
      <c r="S220" s="41"/>
      <c r="T220" s="45">
        <v>3</v>
      </c>
      <c r="U220" s="41">
        <f t="shared" si="77"/>
        <v>1088.6399999999999</v>
      </c>
      <c r="V220" s="41"/>
      <c r="W220" s="41"/>
      <c r="X220" s="43"/>
      <c r="Y220" s="41"/>
      <c r="Z220" s="43"/>
      <c r="AA220" s="41"/>
      <c r="AB220" s="45">
        <v>3</v>
      </c>
      <c r="AC220" s="41">
        <f>AB220*K220</f>
        <v>1088.6399999999999</v>
      </c>
      <c r="AD220" s="41"/>
      <c r="AE220" s="41"/>
      <c r="AF220" s="41"/>
      <c r="AG220" s="41"/>
      <c r="AH220" s="41"/>
      <c r="AI220" s="41"/>
      <c r="AJ220" s="41"/>
      <c r="AK220" s="41"/>
      <c r="AL220" s="33">
        <f t="shared" si="16"/>
        <v>2177.2799999999997</v>
      </c>
    </row>
    <row r="221" spans="2:38" ht="57.75" x14ac:dyDescent="0.25">
      <c r="B221" s="14">
        <v>24301</v>
      </c>
      <c r="C221" s="14" t="s">
        <v>224</v>
      </c>
      <c r="D221" s="14">
        <v>0</v>
      </c>
      <c r="E221" s="14">
        <v>6</v>
      </c>
      <c r="F221" s="14" t="s">
        <v>219</v>
      </c>
      <c r="G221" s="27" t="s">
        <v>212</v>
      </c>
      <c r="H221" s="28" t="s">
        <v>43</v>
      </c>
      <c r="I221" s="143" t="s">
        <v>44</v>
      </c>
      <c r="J221" s="144"/>
      <c r="K221" s="17">
        <v>305</v>
      </c>
      <c r="L221" s="17">
        <f>E221*K221</f>
        <v>1830</v>
      </c>
      <c r="M221" s="44"/>
      <c r="N221" s="41"/>
      <c r="O221" s="41"/>
      <c r="P221" s="41"/>
      <c r="Q221" s="41"/>
      <c r="R221" s="41"/>
      <c r="S221" s="41"/>
      <c r="T221" s="45">
        <v>3</v>
      </c>
      <c r="U221" s="41">
        <f t="shared" si="77"/>
        <v>915</v>
      </c>
      <c r="V221" s="41"/>
      <c r="W221" s="41"/>
      <c r="X221" s="43"/>
      <c r="Y221" s="41"/>
      <c r="Z221" s="43"/>
      <c r="AA221" s="41"/>
      <c r="AB221" s="45">
        <v>3</v>
      </c>
      <c r="AC221" s="41">
        <f t="shared" ref="AC221:AC223" si="79">AB221*K221</f>
        <v>915</v>
      </c>
      <c r="AD221" s="41"/>
      <c r="AE221" s="41"/>
      <c r="AF221" s="41"/>
      <c r="AG221" s="41"/>
      <c r="AH221" s="41"/>
      <c r="AI221" s="41"/>
      <c r="AJ221" s="41"/>
      <c r="AK221" s="41"/>
      <c r="AL221" s="33">
        <f t="shared" ref="AL221:AL283" si="80">O221+Q221+S221+U221+W221+Y221+AA221+AC221+AE221+AG221+AI221+AK221</f>
        <v>1830</v>
      </c>
    </row>
    <row r="222" spans="2:38" ht="57.75" customHeight="1" x14ac:dyDescent="0.25">
      <c r="B222" s="14">
        <v>24301</v>
      </c>
      <c r="C222" s="14" t="s">
        <v>225</v>
      </c>
      <c r="D222" s="14">
        <v>0</v>
      </c>
      <c r="E222" s="14">
        <v>12</v>
      </c>
      <c r="F222" s="14" t="s">
        <v>226</v>
      </c>
      <c r="G222" s="64" t="s">
        <v>89</v>
      </c>
      <c r="H222" s="28" t="s">
        <v>43</v>
      </c>
      <c r="I222" s="143" t="s">
        <v>44</v>
      </c>
      <c r="J222" s="144"/>
      <c r="K222" s="38">
        <v>1850</v>
      </c>
      <c r="L222" s="29">
        <f>E222*K222</f>
        <v>22200</v>
      </c>
      <c r="M222" s="44"/>
      <c r="N222" s="41"/>
      <c r="O222" s="41"/>
      <c r="P222" s="41"/>
      <c r="Q222" s="41"/>
      <c r="R222" s="41"/>
      <c r="S222" s="41"/>
      <c r="T222" s="45">
        <v>6</v>
      </c>
      <c r="U222" s="41">
        <f t="shared" si="77"/>
        <v>11100</v>
      </c>
      <c r="V222" s="41"/>
      <c r="W222" s="41"/>
      <c r="X222" s="43"/>
      <c r="Y222" s="41"/>
      <c r="Z222" s="43"/>
      <c r="AA222" s="41"/>
      <c r="AB222" s="45">
        <v>6</v>
      </c>
      <c r="AC222" s="41">
        <f t="shared" si="79"/>
        <v>11100</v>
      </c>
      <c r="AD222" s="41"/>
      <c r="AE222" s="41"/>
      <c r="AF222" s="41"/>
      <c r="AG222" s="41"/>
      <c r="AH222" s="41"/>
      <c r="AI222" s="41"/>
      <c r="AJ222" s="41"/>
      <c r="AK222" s="41"/>
      <c r="AL222" s="33">
        <f t="shared" si="80"/>
        <v>22200</v>
      </c>
    </row>
    <row r="223" spans="2:38" ht="57.75" customHeight="1" x14ac:dyDescent="0.25">
      <c r="B223" s="14">
        <v>24301</v>
      </c>
      <c r="C223" s="14" t="s">
        <v>227</v>
      </c>
      <c r="D223" s="14">
        <v>0</v>
      </c>
      <c r="E223" s="14">
        <v>5</v>
      </c>
      <c r="F223" s="14" t="s">
        <v>226</v>
      </c>
      <c r="G223" s="64" t="s">
        <v>89</v>
      </c>
      <c r="H223" s="28" t="s">
        <v>43</v>
      </c>
      <c r="I223" s="143" t="s">
        <v>44</v>
      </c>
      <c r="J223" s="144"/>
      <c r="K223" s="38">
        <v>160.19999999999999</v>
      </c>
      <c r="L223" s="29">
        <f>E223*K223</f>
        <v>801</v>
      </c>
      <c r="M223" s="44"/>
      <c r="N223" s="41"/>
      <c r="O223" s="41"/>
      <c r="P223" s="41"/>
      <c r="Q223" s="41"/>
      <c r="R223" s="41"/>
      <c r="S223" s="41"/>
      <c r="T223" s="45">
        <v>3</v>
      </c>
      <c r="U223" s="41">
        <f t="shared" si="77"/>
        <v>480.59999999999997</v>
      </c>
      <c r="V223" s="41"/>
      <c r="W223" s="41"/>
      <c r="X223" s="43"/>
      <c r="Y223" s="41"/>
      <c r="Z223" s="43"/>
      <c r="AA223" s="41"/>
      <c r="AB223" s="45">
        <v>2</v>
      </c>
      <c r="AC223" s="41">
        <f t="shared" si="79"/>
        <v>320.39999999999998</v>
      </c>
      <c r="AD223" s="41"/>
      <c r="AE223" s="41"/>
      <c r="AF223" s="41"/>
      <c r="AG223" s="41"/>
      <c r="AH223" s="41"/>
      <c r="AI223" s="41"/>
      <c r="AJ223" s="41"/>
      <c r="AK223" s="41"/>
      <c r="AL223" s="33">
        <f t="shared" si="80"/>
        <v>801</v>
      </c>
    </row>
    <row r="224" spans="2:38" x14ac:dyDescent="0.25">
      <c r="B224" s="19">
        <v>24400</v>
      </c>
      <c r="C224" s="19"/>
      <c r="D224" s="19"/>
      <c r="E224" s="19"/>
      <c r="F224" s="19"/>
      <c r="G224" s="58"/>
      <c r="H224" s="68"/>
      <c r="I224" s="145"/>
      <c r="J224" s="146"/>
      <c r="K224" s="20"/>
      <c r="L224" s="21">
        <f>SUM(L225:L227)</f>
        <v>9066.5499999999993</v>
      </c>
      <c r="M224" s="60">
        <f>SUM(M225)</f>
        <v>1500</v>
      </c>
      <c r="N224" s="41"/>
      <c r="O224" s="41"/>
      <c r="P224" s="41"/>
      <c r="Q224" s="41"/>
      <c r="R224" s="41"/>
      <c r="S224" s="41"/>
      <c r="T224" s="43"/>
      <c r="U224" s="41"/>
      <c r="V224" s="41"/>
      <c r="W224" s="41"/>
      <c r="X224" s="43"/>
      <c r="Y224" s="41"/>
      <c r="Z224" s="43"/>
      <c r="AA224" s="41"/>
      <c r="AB224" s="43"/>
      <c r="AC224" s="41"/>
      <c r="AD224" s="41"/>
      <c r="AE224" s="41"/>
      <c r="AF224" s="41"/>
      <c r="AG224" s="41"/>
      <c r="AH224" s="41"/>
      <c r="AI224" s="41"/>
      <c r="AJ224" s="41"/>
      <c r="AK224" s="41"/>
      <c r="AL224" s="33"/>
    </row>
    <row r="225" spans="2:41" ht="57.75" x14ac:dyDescent="0.25">
      <c r="B225" s="49">
        <v>24401</v>
      </c>
      <c r="C225" s="26" t="s">
        <v>228</v>
      </c>
      <c r="D225" s="26">
        <v>0</v>
      </c>
      <c r="E225" s="26">
        <v>1</v>
      </c>
      <c r="F225" s="49" t="s">
        <v>546</v>
      </c>
      <c r="G225" s="64" t="s">
        <v>229</v>
      </c>
      <c r="H225" s="28" t="s">
        <v>43</v>
      </c>
      <c r="I225" s="143" t="s">
        <v>44</v>
      </c>
      <c r="J225" s="144"/>
      <c r="K225" s="50">
        <v>7675.15</v>
      </c>
      <c r="L225" s="50">
        <f>E225*K225</f>
        <v>7675.15</v>
      </c>
      <c r="M225" s="51">
        <v>1500</v>
      </c>
      <c r="N225" s="41"/>
      <c r="O225" s="41"/>
      <c r="P225" s="41"/>
      <c r="Q225" s="41"/>
      <c r="R225" s="41"/>
      <c r="S225" s="41"/>
      <c r="T225" s="43"/>
      <c r="U225" s="41"/>
      <c r="V225" s="41"/>
      <c r="W225" s="41"/>
      <c r="X225" s="42">
        <v>4</v>
      </c>
      <c r="Y225" s="41">
        <f t="shared" ref="Y225:Y227" si="81">K225*X225</f>
        <v>30700.6</v>
      </c>
      <c r="Z225" s="43">
        <f t="shared" ref="Z225" si="82">E225/12</f>
        <v>8.3333333333333329E-2</v>
      </c>
      <c r="AA225" s="41"/>
      <c r="AB225" s="43"/>
      <c r="AC225" s="41"/>
      <c r="AD225" s="41"/>
      <c r="AE225" s="41"/>
      <c r="AF225" s="41"/>
      <c r="AG225" s="41"/>
      <c r="AH225" s="41"/>
      <c r="AI225" s="41"/>
      <c r="AJ225" s="41"/>
      <c r="AK225" s="41"/>
      <c r="AL225" s="33">
        <f t="shared" si="80"/>
        <v>30700.6</v>
      </c>
      <c r="AO225" s="106"/>
    </row>
    <row r="226" spans="2:41" ht="57.75" x14ac:dyDescent="0.25">
      <c r="B226" s="49">
        <v>24401</v>
      </c>
      <c r="C226" s="49" t="s">
        <v>230</v>
      </c>
      <c r="D226" s="49"/>
      <c r="E226" s="49">
        <v>2</v>
      </c>
      <c r="F226" s="49" t="s">
        <v>49</v>
      </c>
      <c r="G226" s="64" t="s">
        <v>89</v>
      </c>
      <c r="H226" s="28" t="s">
        <v>43</v>
      </c>
      <c r="I226" s="143" t="s">
        <v>44</v>
      </c>
      <c r="J226" s="144"/>
      <c r="K226" s="50">
        <f>670.38+24.82</f>
        <v>695.2</v>
      </c>
      <c r="L226" s="50">
        <f>E226*K226</f>
        <v>1390.4</v>
      </c>
      <c r="M226" s="51"/>
      <c r="N226" s="41"/>
      <c r="O226" s="41"/>
      <c r="P226" s="41"/>
      <c r="Q226" s="41"/>
      <c r="R226" s="41"/>
      <c r="S226" s="41"/>
      <c r="T226" s="43"/>
      <c r="U226" s="41"/>
      <c r="V226" s="41"/>
      <c r="W226" s="41"/>
      <c r="X226" s="42">
        <v>2</v>
      </c>
      <c r="Y226" s="41">
        <f t="shared" si="81"/>
        <v>1390.4</v>
      </c>
      <c r="Z226" s="43"/>
      <c r="AA226" s="41"/>
      <c r="AB226" s="43"/>
      <c r="AC226" s="41"/>
      <c r="AD226" s="41"/>
      <c r="AE226" s="41"/>
      <c r="AF226" s="41"/>
      <c r="AG226" s="41"/>
      <c r="AH226" s="41"/>
      <c r="AI226" s="41"/>
      <c r="AJ226" s="41"/>
      <c r="AK226" s="41"/>
      <c r="AL226" s="33">
        <f t="shared" si="80"/>
        <v>1390.4</v>
      </c>
      <c r="AO226" s="106"/>
    </row>
    <row r="227" spans="2:41" ht="45" customHeight="1" x14ac:dyDescent="0.25">
      <c r="B227" s="49">
        <v>24402</v>
      </c>
      <c r="C227" s="49" t="s">
        <v>231</v>
      </c>
      <c r="D227" s="49">
        <v>0</v>
      </c>
      <c r="E227" s="14">
        <v>1</v>
      </c>
      <c r="F227" s="14" t="s">
        <v>226</v>
      </c>
      <c r="G227" s="14" t="s">
        <v>232</v>
      </c>
      <c r="H227" s="28" t="s">
        <v>43</v>
      </c>
      <c r="I227" s="143" t="s">
        <v>44</v>
      </c>
      <c r="J227" s="144"/>
      <c r="K227" s="38">
        <v>1</v>
      </c>
      <c r="L227" s="29">
        <f>E227*K227</f>
        <v>1</v>
      </c>
      <c r="M227" s="51"/>
      <c r="N227" s="41"/>
      <c r="O227" s="41"/>
      <c r="P227" s="41"/>
      <c r="Q227" s="41"/>
      <c r="R227" s="41"/>
      <c r="S227" s="41"/>
      <c r="T227" s="43"/>
      <c r="U227" s="41"/>
      <c r="V227" s="41"/>
      <c r="W227" s="41"/>
      <c r="X227" s="42">
        <v>1</v>
      </c>
      <c r="Y227" s="41">
        <f t="shared" si="81"/>
        <v>1</v>
      </c>
      <c r="Z227" s="43"/>
      <c r="AA227" s="41"/>
      <c r="AB227" s="43"/>
      <c r="AC227" s="41"/>
      <c r="AD227" s="41"/>
      <c r="AE227" s="41"/>
      <c r="AF227" s="41"/>
      <c r="AG227" s="41"/>
      <c r="AH227" s="41"/>
      <c r="AI227" s="41"/>
      <c r="AJ227" s="41"/>
      <c r="AK227" s="41"/>
      <c r="AL227" s="33">
        <f t="shared" si="80"/>
        <v>1</v>
      </c>
    </row>
    <row r="228" spans="2:41" x14ac:dyDescent="0.25">
      <c r="B228" s="19">
        <v>24500</v>
      </c>
      <c r="C228" s="19"/>
      <c r="D228" s="19"/>
      <c r="E228" s="19"/>
      <c r="F228" s="19"/>
      <c r="G228" s="58"/>
      <c r="H228" s="59"/>
      <c r="I228" s="145"/>
      <c r="J228" s="146"/>
      <c r="K228" s="20"/>
      <c r="L228" s="21">
        <f>SUM(L229:L232)</f>
        <v>17430</v>
      </c>
      <c r="M228" s="60">
        <f>SUM(M229)</f>
        <v>1501</v>
      </c>
      <c r="N228" s="41"/>
      <c r="O228" s="41"/>
      <c r="P228" s="41"/>
      <c r="Q228" s="41"/>
      <c r="R228" s="41"/>
      <c r="S228" s="41"/>
      <c r="T228" s="43"/>
      <c r="U228" s="41"/>
      <c r="V228" s="41"/>
      <c r="W228" s="41"/>
      <c r="X228" s="43"/>
      <c r="Y228" s="41"/>
      <c r="Z228" s="43"/>
      <c r="AA228" s="41"/>
      <c r="AB228" s="43"/>
      <c r="AC228" s="41"/>
      <c r="AD228" s="41"/>
      <c r="AE228" s="41"/>
      <c r="AF228" s="41"/>
      <c r="AG228" s="41"/>
      <c r="AH228" s="41"/>
      <c r="AI228" s="41"/>
      <c r="AJ228" s="41"/>
      <c r="AK228" s="41"/>
      <c r="AL228" s="33"/>
    </row>
    <row r="229" spans="2:41" ht="57.75" x14ac:dyDescent="0.25">
      <c r="B229" s="49">
        <v>24501</v>
      </c>
      <c r="C229" s="26" t="s">
        <v>233</v>
      </c>
      <c r="D229" s="26">
        <v>0</v>
      </c>
      <c r="E229" s="26">
        <v>1</v>
      </c>
      <c r="F229" s="49" t="s">
        <v>546</v>
      </c>
      <c r="G229" s="27" t="s">
        <v>212</v>
      </c>
      <c r="H229" s="28" t="s">
        <v>43</v>
      </c>
      <c r="I229" s="143" t="s">
        <v>44</v>
      </c>
      <c r="J229" s="144"/>
      <c r="K229" s="50">
        <v>4430</v>
      </c>
      <c r="L229" s="50">
        <f>E229*K229</f>
        <v>4430</v>
      </c>
      <c r="M229" s="44">
        <v>1501</v>
      </c>
      <c r="N229" s="41"/>
      <c r="O229" s="41"/>
      <c r="P229" s="41"/>
      <c r="Q229" s="41"/>
      <c r="R229" s="41"/>
      <c r="S229" s="41"/>
      <c r="T229" s="42">
        <v>4</v>
      </c>
      <c r="U229" s="41">
        <f t="shared" ref="U229:U232" si="83">K229*T229</f>
        <v>17720</v>
      </c>
      <c r="V229" s="41"/>
      <c r="W229" s="41"/>
      <c r="X229" s="43"/>
      <c r="Y229" s="41"/>
      <c r="Z229" s="43"/>
      <c r="AA229" s="41"/>
      <c r="AB229" s="43"/>
      <c r="AC229" s="41"/>
      <c r="AD229" s="41"/>
      <c r="AE229" s="41"/>
      <c r="AF229" s="41"/>
      <c r="AG229" s="41"/>
      <c r="AH229" s="41"/>
      <c r="AI229" s="41"/>
      <c r="AJ229" s="41"/>
      <c r="AK229" s="41"/>
      <c r="AL229" s="33">
        <f t="shared" si="80"/>
        <v>17720</v>
      </c>
    </row>
    <row r="230" spans="2:41" ht="53.25" customHeight="1" x14ac:dyDescent="0.25">
      <c r="B230" s="49">
        <v>24503</v>
      </c>
      <c r="C230" s="39" t="s">
        <v>234</v>
      </c>
      <c r="D230" s="14">
        <v>0</v>
      </c>
      <c r="E230" s="14">
        <v>3</v>
      </c>
      <c r="F230" s="14" t="s">
        <v>226</v>
      </c>
      <c r="G230" s="14" t="s">
        <v>232</v>
      </c>
      <c r="H230" s="28" t="s">
        <v>43</v>
      </c>
      <c r="I230" s="143" t="s">
        <v>44</v>
      </c>
      <c r="J230" s="144"/>
      <c r="K230" s="38">
        <v>1300</v>
      </c>
      <c r="L230" s="29">
        <f>K230*E230</f>
        <v>3900</v>
      </c>
      <c r="M230" s="44"/>
      <c r="N230" s="41"/>
      <c r="O230" s="41"/>
      <c r="P230" s="41"/>
      <c r="Q230" s="41"/>
      <c r="R230" s="41"/>
      <c r="S230" s="41"/>
      <c r="T230" s="42">
        <v>2</v>
      </c>
      <c r="U230" s="41">
        <f t="shared" si="83"/>
        <v>2600</v>
      </c>
      <c r="V230" s="41"/>
      <c r="W230" s="41"/>
      <c r="X230" s="43"/>
      <c r="Y230" s="41"/>
      <c r="Z230" s="43"/>
      <c r="AA230" s="41"/>
      <c r="AB230" s="43"/>
      <c r="AC230" s="41"/>
      <c r="AD230" s="41"/>
      <c r="AE230" s="41"/>
      <c r="AF230" s="41"/>
      <c r="AG230" s="41"/>
      <c r="AH230" s="41"/>
      <c r="AI230" s="41"/>
      <c r="AJ230" s="41"/>
      <c r="AK230" s="41"/>
      <c r="AL230" s="33">
        <f t="shared" si="80"/>
        <v>2600</v>
      </c>
    </row>
    <row r="231" spans="2:41" ht="53.25" customHeight="1" x14ac:dyDescent="0.25">
      <c r="B231" s="49">
        <v>24503</v>
      </c>
      <c r="C231" s="39" t="s">
        <v>235</v>
      </c>
      <c r="D231" s="14">
        <v>0</v>
      </c>
      <c r="E231" s="14">
        <v>2</v>
      </c>
      <c r="F231" s="14" t="s">
        <v>49</v>
      </c>
      <c r="G231" s="64" t="s">
        <v>89</v>
      </c>
      <c r="H231" s="28" t="s">
        <v>43</v>
      </c>
      <c r="I231" s="143" t="s">
        <v>44</v>
      </c>
      <c r="J231" s="144"/>
      <c r="K231" s="50">
        <v>2250</v>
      </c>
      <c r="L231" s="50">
        <f>E231*K231</f>
        <v>4500</v>
      </c>
      <c r="M231" s="44"/>
      <c r="N231" s="41"/>
      <c r="O231" s="41"/>
      <c r="P231" s="41"/>
      <c r="Q231" s="41"/>
      <c r="R231" s="41"/>
      <c r="S231" s="41"/>
      <c r="T231" s="42">
        <v>4</v>
      </c>
      <c r="U231" s="41">
        <f t="shared" si="83"/>
        <v>9000</v>
      </c>
      <c r="V231" s="41"/>
      <c r="W231" s="41"/>
      <c r="X231" s="43"/>
      <c r="Y231" s="41"/>
      <c r="Z231" s="43"/>
      <c r="AA231" s="41"/>
      <c r="AB231" s="43"/>
      <c r="AC231" s="41"/>
      <c r="AD231" s="41"/>
      <c r="AE231" s="41"/>
      <c r="AF231" s="41"/>
      <c r="AG231" s="41"/>
      <c r="AH231" s="41"/>
      <c r="AI231" s="41"/>
      <c r="AJ231" s="41"/>
      <c r="AK231" s="41"/>
      <c r="AL231" s="33">
        <f t="shared" si="80"/>
        <v>9000</v>
      </c>
    </row>
    <row r="232" spans="2:41" ht="53.25" customHeight="1" x14ac:dyDescent="0.25">
      <c r="B232" s="49">
        <v>24503</v>
      </c>
      <c r="C232" s="39" t="s">
        <v>236</v>
      </c>
      <c r="D232" s="14">
        <v>0</v>
      </c>
      <c r="E232" s="14">
        <v>1</v>
      </c>
      <c r="F232" s="14" t="s">
        <v>49</v>
      </c>
      <c r="G232" s="64" t="s">
        <v>89</v>
      </c>
      <c r="H232" s="28" t="s">
        <v>43</v>
      </c>
      <c r="I232" s="143" t="s">
        <v>44</v>
      </c>
      <c r="J232" s="144"/>
      <c r="K232" s="50">
        <v>4600</v>
      </c>
      <c r="L232" s="50">
        <f>E232*K232</f>
        <v>4600</v>
      </c>
      <c r="M232" s="44"/>
      <c r="N232" s="41"/>
      <c r="O232" s="41"/>
      <c r="P232" s="41"/>
      <c r="Q232" s="41"/>
      <c r="R232" s="41"/>
      <c r="S232" s="41"/>
      <c r="T232" s="42">
        <v>1</v>
      </c>
      <c r="U232" s="41">
        <f t="shared" si="83"/>
        <v>4600</v>
      </c>
      <c r="V232" s="41"/>
      <c r="W232" s="41"/>
      <c r="X232" s="43"/>
      <c r="Y232" s="41"/>
      <c r="Z232" s="43"/>
      <c r="AA232" s="41"/>
      <c r="AB232" s="43"/>
      <c r="AC232" s="41"/>
      <c r="AD232" s="41"/>
      <c r="AE232" s="41"/>
      <c r="AF232" s="41"/>
      <c r="AG232" s="41"/>
      <c r="AH232" s="41"/>
      <c r="AI232" s="41"/>
      <c r="AJ232" s="41"/>
      <c r="AK232" s="41"/>
      <c r="AL232" s="33">
        <f t="shared" si="80"/>
        <v>4600</v>
      </c>
    </row>
    <row r="233" spans="2:41" x14ac:dyDescent="0.25">
      <c r="B233" s="19">
        <v>24600</v>
      </c>
      <c r="C233" s="19"/>
      <c r="D233" s="19"/>
      <c r="E233" s="19"/>
      <c r="F233" s="19"/>
      <c r="G233" s="58"/>
      <c r="H233" s="59"/>
      <c r="I233" s="145"/>
      <c r="J233" s="146"/>
      <c r="K233" s="20"/>
      <c r="L233" s="21">
        <f>L234+L260</f>
        <v>52932.679999999993</v>
      </c>
      <c r="M233" s="60">
        <f>M234</f>
        <v>45002</v>
      </c>
      <c r="N233" s="41"/>
      <c r="O233" s="41"/>
      <c r="P233" s="41"/>
      <c r="Q233" s="41"/>
      <c r="R233" s="41"/>
      <c r="S233" s="41"/>
      <c r="T233" s="43"/>
      <c r="U233" s="41"/>
      <c r="V233" s="41"/>
      <c r="W233" s="41"/>
      <c r="X233" s="43"/>
      <c r="Y233" s="41"/>
      <c r="Z233" s="43"/>
      <c r="AA233" s="41"/>
      <c r="AB233" s="43"/>
      <c r="AC233" s="41"/>
      <c r="AD233" s="41"/>
      <c r="AE233" s="41"/>
      <c r="AF233" s="41"/>
      <c r="AG233" s="41"/>
      <c r="AH233" s="41"/>
      <c r="AI233" s="41"/>
      <c r="AJ233" s="41"/>
      <c r="AK233" s="41"/>
      <c r="AL233" s="33"/>
    </row>
    <row r="234" spans="2:41" x14ac:dyDescent="0.25">
      <c r="B234" s="19">
        <v>24601</v>
      </c>
      <c r="C234" s="19"/>
      <c r="D234" s="19"/>
      <c r="E234" s="19"/>
      <c r="F234" s="19"/>
      <c r="G234" s="58"/>
      <c r="H234" s="59"/>
      <c r="I234" s="145"/>
      <c r="J234" s="146"/>
      <c r="K234" s="20"/>
      <c r="L234" s="21">
        <f>SUM(L235:L258)</f>
        <v>42607.679999999993</v>
      </c>
      <c r="M234" s="44">
        <v>45002</v>
      </c>
      <c r="N234" s="41"/>
      <c r="O234" s="41"/>
      <c r="P234" s="41"/>
      <c r="Q234" s="41"/>
      <c r="R234" s="41"/>
      <c r="S234" s="41"/>
      <c r="T234" s="43"/>
      <c r="U234" s="41"/>
      <c r="V234" s="41"/>
      <c r="W234" s="41"/>
      <c r="X234" s="43"/>
      <c r="Y234" s="41"/>
      <c r="Z234" s="43"/>
      <c r="AA234" s="41"/>
      <c r="AB234" s="43"/>
      <c r="AC234" s="41"/>
      <c r="AD234" s="41"/>
      <c r="AE234" s="41"/>
      <c r="AF234" s="41"/>
      <c r="AG234" s="41"/>
      <c r="AH234" s="41"/>
      <c r="AI234" s="41"/>
      <c r="AJ234" s="41"/>
      <c r="AK234" s="41"/>
      <c r="AL234" s="33"/>
    </row>
    <row r="235" spans="2:41" ht="57.75" x14ac:dyDescent="0.25">
      <c r="B235" s="49">
        <v>24601</v>
      </c>
      <c r="C235" s="49" t="s">
        <v>237</v>
      </c>
      <c r="D235" s="49">
        <v>0</v>
      </c>
      <c r="E235" s="49">
        <v>18</v>
      </c>
      <c r="F235" s="49" t="s">
        <v>49</v>
      </c>
      <c r="G235" s="64" t="s">
        <v>89</v>
      </c>
      <c r="H235" s="28" t="s">
        <v>43</v>
      </c>
      <c r="I235" s="143" t="s">
        <v>44</v>
      </c>
      <c r="J235" s="144"/>
      <c r="K235" s="50">
        <v>360</v>
      </c>
      <c r="L235" s="50">
        <f t="shared" ref="L235:L258" si="84">E235*K235</f>
        <v>6480</v>
      </c>
      <c r="M235" s="51"/>
      <c r="N235" s="41">
        <v>3</v>
      </c>
      <c r="O235" s="41">
        <f t="shared" ref="O235:O255" si="85">N235*K235</f>
        <v>1080</v>
      </c>
      <c r="P235" s="41">
        <v>3</v>
      </c>
      <c r="Q235" s="41">
        <f t="shared" ref="Q235:Q254" si="86">K235*P235</f>
        <v>1080</v>
      </c>
      <c r="R235" s="41">
        <v>3</v>
      </c>
      <c r="S235" s="41">
        <f t="shared" ref="S235:S255" si="87">K235*R235</f>
        <v>1080</v>
      </c>
      <c r="T235" s="43">
        <v>3</v>
      </c>
      <c r="U235" s="41">
        <f t="shared" ref="U235:U256" si="88">K235*T235</f>
        <v>1080</v>
      </c>
      <c r="V235" s="41">
        <v>7</v>
      </c>
      <c r="W235" s="41">
        <f t="shared" ref="W235:W253" si="89">K235*V235</f>
        <v>2520</v>
      </c>
      <c r="X235" s="43">
        <v>3</v>
      </c>
      <c r="Y235" s="41">
        <f t="shared" ref="Y235:Y255" si="90">K235*X235</f>
        <v>1080</v>
      </c>
      <c r="Z235" s="43">
        <v>3</v>
      </c>
      <c r="AA235" s="41">
        <f t="shared" ref="AA235:AA254" si="91">K235*Z235</f>
        <v>1080</v>
      </c>
      <c r="AB235" s="43">
        <v>3</v>
      </c>
      <c r="AC235" s="41">
        <f t="shared" ref="AC235:AC252" si="92">K235*AB235</f>
        <v>1080</v>
      </c>
      <c r="AD235" s="41">
        <v>3</v>
      </c>
      <c r="AE235" s="41">
        <f t="shared" ref="AE235:AE255" si="93">K235*AD235</f>
        <v>1080</v>
      </c>
      <c r="AF235" s="41">
        <v>3</v>
      </c>
      <c r="AG235" s="41">
        <f t="shared" ref="AG235:AG252" si="94">K235*AF235</f>
        <v>1080</v>
      </c>
      <c r="AH235" s="41">
        <v>3</v>
      </c>
      <c r="AI235" s="41">
        <f t="shared" ref="AI235:AI252" si="95">K235*AH235</f>
        <v>1080</v>
      </c>
      <c r="AJ235" s="41">
        <v>3</v>
      </c>
      <c r="AK235" s="41">
        <f t="shared" ref="AK235:AK252" si="96">K235*AJ235</f>
        <v>1080</v>
      </c>
      <c r="AL235" s="33">
        <f t="shared" si="80"/>
        <v>14400</v>
      </c>
    </row>
    <row r="236" spans="2:41" ht="57.75" x14ac:dyDescent="0.25">
      <c r="B236" s="49">
        <v>24601</v>
      </c>
      <c r="C236" s="49" t="s">
        <v>238</v>
      </c>
      <c r="D236" s="49">
        <v>0</v>
      </c>
      <c r="E236" s="49">
        <v>10</v>
      </c>
      <c r="F236" s="49" t="s">
        <v>49</v>
      </c>
      <c r="G236" s="64" t="s">
        <v>89</v>
      </c>
      <c r="H236" s="28" t="s">
        <v>43</v>
      </c>
      <c r="I236" s="143" t="s">
        <v>44</v>
      </c>
      <c r="J236" s="144"/>
      <c r="K236" s="50">
        <v>330</v>
      </c>
      <c r="L236" s="50">
        <f t="shared" si="84"/>
        <v>3300</v>
      </c>
      <c r="M236" s="51"/>
      <c r="N236" s="41">
        <f t="shared" ref="N236:N258" si="97">E236/12</f>
        <v>0.83333333333333337</v>
      </c>
      <c r="O236" s="41">
        <f t="shared" si="85"/>
        <v>275</v>
      </c>
      <c r="P236" s="41">
        <f t="shared" ref="P236:P252" si="98">E236/12</f>
        <v>0.83333333333333337</v>
      </c>
      <c r="Q236" s="41">
        <f t="shared" si="86"/>
        <v>275</v>
      </c>
      <c r="R236" s="41">
        <f t="shared" ref="R236:R252" si="99">E236/12</f>
        <v>0.83333333333333337</v>
      </c>
      <c r="S236" s="41">
        <f t="shared" si="87"/>
        <v>275</v>
      </c>
      <c r="T236" s="43">
        <f t="shared" ref="T236:T252" si="100">E236/12</f>
        <v>0.83333333333333337</v>
      </c>
      <c r="U236" s="41">
        <f t="shared" si="88"/>
        <v>275</v>
      </c>
      <c r="V236" s="41">
        <f t="shared" ref="V236:V252" si="101">E236/12</f>
        <v>0.83333333333333337</v>
      </c>
      <c r="W236" s="41">
        <f t="shared" si="89"/>
        <v>275</v>
      </c>
      <c r="X236" s="43">
        <f t="shared" ref="X236:X252" si="102">E236/12</f>
        <v>0.83333333333333337</v>
      </c>
      <c r="Y236" s="41">
        <f t="shared" si="90"/>
        <v>275</v>
      </c>
      <c r="Z236" s="43">
        <f t="shared" ref="Z236:Z252" si="103">E236/12</f>
        <v>0.83333333333333337</v>
      </c>
      <c r="AA236" s="41">
        <f t="shared" si="91"/>
        <v>275</v>
      </c>
      <c r="AB236" s="43">
        <f t="shared" ref="AB236:AB252" si="104">E236/12</f>
        <v>0.83333333333333337</v>
      </c>
      <c r="AC236" s="41">
        <f t="shared" si="92"/>
        <v>275</v>
      </c>
      <c r="AD236" s="41">
        <f t="shared" ref="AD236:AD252" si="105">E236/12</f>
        <v>0.83333333333333337</v>
      </c>
      <c r="AE236" s="41">
        <f t="shared" si="93"/>
        <v>275</v>
      </c>
      <c r="AF236" s="41">
        <f t="shared" ref="AF236:AF252" si="106">E236/12</f>
        <v>0.83333333333333337</v>
      </c>
      <c r="AG236" s="41">
        <f t="shared" si="94"/>
        <v>275</v>
      </c>
      <c r="AH236" s="41">
        <f t="shared" ref="AH236:AH252" si="107">E236/12</f>
        <v>0.83333333333333337</v>
      </c>
      <c r="AI236" s="41">
        <f t="shared" si="95"/>
        <v>275</v>
      </c>
      <c r="AJ236" s="41">
        <f t="shared" ref="AJ236:AJ252" si="108">E236/12</f>
        <v>0.83333333333333337</v>
      </c>
      <c r="AK236" s="41">
        <f t="shared" si="96"/>
        <v>275</v>
      </c>
      <c r="AL236" s="33">
        <f t="shared" si="80"/>
        <v>3300</v>
      </c>
    </row>
    <row r="237" spans="2:41" ht="57.75" x14ac:dyDescent="0.25">
      <c r="B237" s="14">
        <v>24601</v>
      </c>
      <c r="C237" s="14" t="s">
        <v>239</v>
      </c>
      <c r="D237" s="49">
        <v>0</v>
      </c>
      <c r="E237" s="14">
        <v>16</v>
      </c>
      <c r="F237" s="14" t="s">
        <v>49</v>
      </c>
      <c r="G237" s="27" t="s">
        <v>89</v>
      </c>
      <c r="H237" s="28" t="s">
        <v>43</v>
      </c>
      <c r="I237" s="143" t="s">
        <v>44</v>
      </c>
      <c r="J237" s="144"/>
      <c r="K237" s="17">
        <v>320</v>
      </c>
      <c r="L237" s="17">
        <f t="shared" si="84"/>
        <v>5120</v>
      </c>
      <c r="M237" s="40"/>
      <c r="N237" s="41">
        <v>1</v>
      </c>
      <c r="O237" s="41">
        <f t="shared" si="85"/>
        <v>320</v>
      </c>
      <c r="P237" s="41">
        <v>1</v>
      </c>
      <c r="Q237" s="41">
        <f t="shared" si="86"/>
        <v>320</v>
      </c>
      <c r="R237" s="41">
        <v>2</v>
      </c>
      <c r="S237" s="41">
        <f t="shared" si="87"/>
        <v>640</v>
      </c>
      <c r="T237" s="43">
        <v>1</v>
      </c>
      <c r="U237" s="41">
        <f t="shared" si="88"/>
        <v>320</v>
      </c>
      <c r="V237" s="41">
        <v>1</v>
      </c>
      <c r="W237" s="41">
        <f t="shared" si="89"/>
        <v>320</v>
      </c>
      <c r="X237" s="43">
        <v>2</v>
      </c>
      <c r="Y237" s="41">
        <f t="shared" si="90"/>
        <v>640</v>
      </c>
      <c r="Z237" s="43">
        <v>1</v>
      </c>
      <c r="AA237" s="41">
        <f t="shared" si="91"/>
        <v>320</v>
      </c>
      <c r="AB237" s="43">
        <v>1</v>
      </c>
      <c r="AC237" s="41">
        <f t="shared" si="92"/>
        <v>320</v>
      </c>
      <c r="AD237" s="41">
        <v>1</v>
      </c>
      <c r="AE237" s="41">
        <f t="shared" si="93"/>
        <v>320</v>
      </c>
      <c r="AF237" s="41">
        <v>2</v>
      </c>
      <c r="AG237" s="41">
        <f t="shared" si="94"/>
        <v>640</v>
      </c>
      <c r="AH237" s="41">
        <v>1</v>
      </c>
      <c r="AI237" s="41">
        <f t="shared" si="95"/>
        <v>320</v>
      </c>
      <c r="AJ237" s="41">
        <v>1</v>
      </c>
      <c r="AK237" s="41">
        <f t="shared" si="96"/>
        <v>320</v>
      </c>
      <c r="AL237" s="33">
        <f t="shared" si="80"/>
        <v>4800</v>
      </c>
    </row>
    <row r="238" spans="2:41" ht="57.75" x14ac:dyDescent="0.25">
      <c r="B238" s="49">
        <v>24601</v>
      </c>
      <c r="C238" s="49" t="s">
        <v>240</v>
      </c>
      <c r="D238" s="49">
        <v>0</v>
      </c>
      <c r="E238" s="49">
        <v>30</v>
      </c>
      <c r="F238" s="49" t="s">
        <v>241</v>
      </c>
      <c r="G238" s="64" t="s">
        <v>89</v>
      </c>
      <c r="H238" s="28" t="s">
        <v>43</v>
      </c>
      <c r="I238" s="143" t="s">
        <v>44</v>
      </c>
      <c r="J238" s="144"/>
      <c r="K238" s="50">
        <v>30</v>
      </c>
      <c r="L238" s="50">
        <f t="shared" si="84"/>
        <v>900</v>
      </c>
      <c r="M238" s="51"/>
      <c r="N238" s="41">
        <v>3</v>
      </c>
      <c r="O238" s="41">
        <f t="shared" si="85"/>
        <v>90</v>
      </c>
      <c r="P238" s="41">
        <v>3</v>
      </c>
      <c r="Q238" s="41">
        <f t="shared" si="86"/>
        <v>90</v>
      </c>
      <c r="R238" s="41">
        <v>3</v>
      </c>
      <c r="S238" s="41">
        <f t="shared" si="87"/>
        <v>90</v>
      </c>
      <c r="T238" s="43">
        <v>3</v>
      </c>
      <c r="U238" s="41">
        <f t="shared" si="88"/>
        <v>90</v>
      </c>
      <c r="V238" s="41">
        <v>3</v>
      </c>
      <c r="W238" s="41">
        <f t="shared" si="89"/>
        <v>90</v>
      </c>
      <c r="X238" s="43">
        <v>3</v>
      </c>
      <c r="Y238" s="41">
        <f t="shared" si="90"/>
        <v>90</v>
      </c>
      <c r="Z238" s="43">
        <v>3</v>
      </c>
      <c r="AA238" s="41">
        <f t="shared" si="91"/>
        <v>90</v>
      </c>
      <c r="AB238" s="43">
        <v>3</v>
      </c>
      <c r="AC238" s="41">
        <f t="shared" si="92"/>
        <v>90</v>
      </c>
      <c r="AD238" s="41">
        <v>3</v>
      </c>
      <c r="AE238" s="41">
        <f t="shared" si="93"/>
        <v>90</v>
      </c>
      <c r="AF238" s="41">
        <v>3</v>
      </c>
      <c r="AG238" s="41">
        <f t="shared" si="94"/>
        <v>90</v>
      </c>
      <c r="AH238" s="41"/>
      <c r="AI238" s="41"/>
      <c r="AJ238" s="41"/>
      <c r="AK238" s="41"/>
      <c r="AL238" s="33">
        <f t="shared" si="80"/>
        <v>900</v>
      </c>
    </row>
    <row r="239" spans="2:41" ht="57.75" x14ac:dyDescent="0.25">
      <c r="B239" s="49">
        <v>24601</v>
      </c>
      <c r="C239" s="49" t="s">
        <v>242</v>
      </c>
      <c r="D239" s="49">
        <v>0</v>
      </c>
      <c r="E239" s="49">
        <v>20</v>
      </c>
      <c r="F239" s="49" t="s">
        <v>49</v>
      </c>
      <c r="G239" s="64" t="s">
        <v>89</v>
      </c>
      <c r="H239" s="28" t="s">
        <v>43</v>
      </c>
      <c r="I239" s="143" t="s">
        <v>44</v>
      </c>
      <c r="J239" s="144"/>
      <c r="K239" s="50">
        <v>181</v>
      </c>
      <c r="L239" s="50">
        <f t="shared" si="84"/>
        <v>3620</v>
      </c>
      <c r="M239" s="51"/>
      <c r="N239" s="41">
        <v>2</v>
      </c>
      <c r="O239" s="41">
        <f t="shared" si="85"/>
        <v>362</v>
      </c>
      <c r="P239" s="41">
        <v>2</v>
      </c>
      <c r="Q239" s="41">
        <f t="shared" si="86"/>
        <v>362</v>
      </c>
      <c r="R239" s="41">
        <v>1</v>
      </c>
      <c r="S239" s="41">
        <f t="shared" si="87"/>
        <v>181</v>
      </c>
      <c r="T239" s="43">
        <v>1</v>
      </c>
      <c r="U239" s="41">
        <f t="shared" si="88"/>
        <v>181</v>
      </c>
      <c r="V239" s="41">
        <v>1</v>
      </c>
      <c r="W239" s="41">
        <f t="shared" si="89"/>
        <v>181</v>
      </c>
      <c r="X239" s="43">
        <v>2</v>
      </c>
      <c r="Y239" s="41">
        <f t="shared" si="90"/>
        <v>362</v>
      </c>
      <c r="Z239" s="43">
        <v>2</v>
      </c>
      <c r="AA239" s="41">
        <f t="shared" si="91"/>
        <v>362</v>
      </c>
      <c r="AB239" s="43">
        <v>2</v>
      </c>
      <c r="AC239" s="41">
        <f t="shared" si="92"/>
        <v>362</v>
      </c>
      <c r="AD239" s="41">
        <v>2</v>
      </c>
      <c r="AE239" s="41">
        <f t="shared" si="93"/>
        <v>362</v>
      </c>
      <c r="AF239" s="41">
        <v>2</v>
      </c>
      <c r="AG239" s="41">
        <f t="shared" si="94"/>
        <v>362</v>
      </c>
      <c r="AH239" s="41">
        <v>2</v>
      </c>
      <c r="AI239" s="41">
        <f t="shared" si="95"/>
        <v>362</v>
      </c>
      <c r="AJ239" s="41">
        <v>1</v>
      </c>
      <c r="AK239" s="41">
        <f t="shared" si="96"/>
        <v>181</v>
      </c>
      <c r="AL239" s="33">
        <f t="shared" si="80"/>
        <v>3620</v>
      </c>
    </row>
    <row r="240" spans="2:41" ht="57.75" x14ac:dyDescent="0.25">
      <c r="B240" s="49">
        <v>24601</v>
      </c>
      <c r="C240" s="49" t="s">
        <v>243</v>
      </c>
      <c r="D240" s="49">
        <v>0</v>
      </c>
      <c r="E240" s="49">
        <v>12</v>
      </c>
      <c r="F240" s="49" t="s">
        <v>49</v>
      </c>
      <c r="G240" s="64" t="s">
        <v>89</v>
      </c>
      <c r="H240" s="28" t="s">
        <v>43</v>
      </c>
      <c r="I240" s="143" t="s">
        <v>44</v>
      </c>
      <c r="J240" s="144"/>
      <c r="K240" s="50">
        <v>450</v>
      </c>
      <c r="L240" s="50">
        <f t="shared" si="84"/>
        <v>5400</v>
      </c>
      <c r="M240" s="51"/>
      <c r="N240" s="41">
        <f t="shared" si="97"/>
        <v>1</v>
      </c>
      <c r="O240" s="41">
        <f t="shared" si="85"/>
        <v>450</v>
      </c>
      <c r="P240" s="41">
        <f t="shared" si="98"/>
        <v>1</v>
      </c>
      <c r="Q240" s="41">
        <f t="shared" si="86"/>
        <v>450</v>
      </c>
      <c r="R240" s="41">
        <f t="shared" si="99"/>
        <v>1</v>
      </c>
      <c r="S240" s="41">
        <f t="shared" si="87"/>
        <v>450</v>
      </c>
      <c r="T240" s="43">
        <f t="shared" si="100"/>
        <v>1</v>
      </c>
      <c r="U240" s="41">
        <f t="shared" si="88"/>
        <v>450</v>
      </c>
      <c r="V240" s="41">
        <f t="shared" si="101"/>
        <v>1</v>
      </c>
      <c r="W240" s="41">
        <f t="shared" si="89"/>
        <v>450</v>
      </c>
      <c r="X240" s="43">
        <f t="shared" si="102"/>
        <v>1</v>
      </c>
      <c r="Y240" s="41">
        <f t="shared" si="90"/>
        <v>450</v>
      </c>
      <c r="Z240" s="43">
        <f t="shared" si="103"/>
        <v>1</v>
      </c>
      <c r="AA240" s="41">
        <f t="shared" si="91"/>
        <v>450</v>
      </c>
      <c r="AB240" s="43">
        <f t="shared" si="104"/>
        <v>1</v>
      </c>
      <c r="AC240" s="41">
        <f t="shared" si="92"/>
        <v>450</v>
      </c>
      <c r="AD240" s="41">
        <f t="shared" si="105"/>
        <v>1</v>
      </c>
      <c r="AE240" s="41">
        <f t="shared" si="93"/>
        <v>450</v>
      </c>
      <c r="AF240" s="41">
        <f t="shared" si="106"/>
        <v>1</v>
      </c>
      <c r="AG240" s="41">
        <f t="shared" si="94"/>
        <v>450</v>
      </c>
      <c r="AH240" s="41">
        <f t="shared" si="107"/>
        <v>1</v>
      </c>
      <c r="AI240" s="41">
        <f t="shared" si="95"/>
        <v>450</v>
      </c>
      <c r="AJ240" s="41">
        <f t="shared" si="108"/>
        <v>1</v>
      </c>
      <c r="AK240" s="41">
        <f t="shared" si="96"/>
        <v>450</v>
      </c>
      <c r="AL240" s="33">
        <f t="shared" si="80"/>
        <v>5400</v>
      </c>
    </row>
    <row r="241" spans="2:38" ht="57.75" x14ac:dyDescent="0.25">
      <c r="B241" s="49">
        <v>24601</v>
      </c>
      <c r="C241" s="49" t="s">
        <v>244</v>
      </c>
      <c r="D241" s="49">
        <v>0</v>
      </c>
      <c r="E241" s="49">
        <v>22</v>
      </c>
      <c r="F241" s="49" t="s">
        <v>49</v>
      </c>
      <c r="G241" s="64" t="s">
        <v>89</v>
      </c>
      <c r="H241" s="28" t="s">
        <v>43</v>
      </c>
      <c r="I241" s="143" t="s">
        <v>44</v>
      </c>
      <c r="J241" s="144"/>
      <c r="K241" s="50">
        <v>35</v>
      </c>
      <c r="L241" s="50">
        <f t="shared" si="84"/>
        <v>770</v>
      </c>
      <c r="M241" s="51"/>
      <c r="N241" s="41">
        <f t="shared" si="97"/>
        <v>1.8333333333333333</v>
      </c>
      <c r="O241" s="41">
        <f t="shared" si="85"/>
        <v>64.166666666666657</v>
      </c>
      <c r="P241" s="41">
        <f t="shared" si="98"/>
        <v>1.8333333333333333</v>
      </c>
      <c r="Q241" s="41">
        <f t="shared" si="86"/>
        <v>64.166666666666657</v>
      </c>
      <c r="R241" s="41">
        <f t="shared" si="99"/>
        <v>1.8333333333333333</v>
      </c>
      <c r="S241" s="41">
        <f t="shared" si="87"/>
        <v>64.166666666666657</v>
      </c>
      <c r="T241" s="43">
        <f t="shared" si="100"/>
        <v>1.8333333333333333</v>
      </c>
      <c r="U241" s="41">
        <f t="shared" si="88"/>
        <v>64.166666666666657</v>
      </c>
      <c r="V241" s="41">
        <f t="shared" si="101"/>
        <v>1.8333333333333333</v>
      </c>
      <c r="W241" s="41">
        <f t="shared" si="89"/>
        <v>64.166666666666657</v>
      </c>
      <c r="X241" s="43">
        <f t="shared" si="102"/>
        <v>1.8333333333333333</v>
      </c>
      <c r="Y241" s="41">
        <f t="shared" si="90"/>
        <v>64.166666666666657</v>
      </c>
      <c r="Z241" s="43">
        <f t="shared" si="103"/>
        <v>1.8333333333333333</v>
      </c>
      <c r="AA241" s="41">
        <f t="shared" si="91"/>
        <v>64.166666666666657</v>
      </c>
      <c r="AB241" s="43">
        <f t="shared" si="104"/>
        <v>1.8333333333333333</v>
      </c>
      <c r="AC241" s="41">
        <f t="shared" si="92"/>
        <v>64.166666666666657</v>
      </c>
      <c r="AD241" s="41">
        <f t="shared" si="105"/>
        <v>1.8333333333333333</v>
      </c>
      <c r="AE241" s="41">
        <f t="shared" si="93"/>
        <v>64.166666666666657</v>
      </c>
      <c r="AF241" s="41">
        <f t="shared" si="106"/>
        <v>1.8333333333333333</v>
      </c>
      <c r="AG241" s="41">
        <f t="shared" si="94"/>
        <v>64.166666666666657</v>
      </c>
      <c r="AH241" s="41">
        <f t="shared" si="107"/>
        <v>1.8333333333333333</v>
      </c>
      <c r="AI241" s="41">
        <f t="shared" si="95"/>
        <v>64.166666666666657</v>
      </c>
      <c r="AJ241" s="41">
        <f t="shared" si="108"/>
        <v>1.8333333333333333</v>
      </c>
      <c r="AK241" s="41">
        <f t="shared" si="96"/>
        <v>64.166666666666657</v>
      </c>
      <c r="AL241" s="33">
        <f t="shared" si="80"/>
        <v>769.99999999999966</v>
      </c>
    </row>
    <row r="242" spans="2:38" ht="57.75" x14ac:dyDescent="0.25">
      <c r="B242" s="14">
        <v>24601</v>
      </c>
      <c r="C242" s="14" t="s">
        <v>245</v>
      </c>
      <c r="D242" s="49">
        <v>0</v>
      </c>
      <c r="E242" s="14">
        <v>30</v>
      </c>
      <c r="F242" s="14" t="s">
        <v>241</v>
      </c>
      <c r="G242" s="27" t="s">
        <v>89</v>
      </c>
      <c r="H242" s="28" t="s">
        <v>43</v>
      </c>
      <c r="I242" s="143" t="s">
        <v>44</v>
      </c>
      <c r="J242" s="144"/>
      <c r="K242" s="17">
        <v>20</v>
      </c>
      <c r="L242" s="17">
        <f t="shared" si="84"/>
        <v>600</v>
      </c>
      <c r="M242" s="40"/>
      <c r="N242" s="41">
        <f t="shared" si="97"/>
        <v>2.5</v>
      </c>
      <c r="O242" s="41">
        <f t="shared" si="85"/>
        <v>50</v>
      </c>
      <c r="P242" s="41">
        <f t="shared" si="98"/>
        <v>2.5</v>
      </c>
      <c r="Q242" s="41">
        <f t="shared" si="86"/>
        <v>50</v>
      </c>
      <c r="R242" s="41">
        <f t="shared" si="99"/>
        <v>2.5</v>
      </c>
      <c r="S242" s="41">
        <f t="shared" si="87"/>
        <v>50</v>
      </c>
      <c r="T242" s="43">
        <f t="shared" si="100"/>
        <v>2.5</v>
      </c>
      <c r="U242" s="41">
        <f t="shared" si="88"/>
        <v>50</v>
      </c>
      <c r="V242" s="41">
        <f t="shared" si="101"/>
        <v>2.5</v>
      </c>
      <c r="W242" s="41">
        <f t="shared" si="89"/>
        <v>50</v>
      </c>
      <c r="X242" s="43">
        <f t="shared" si="102"/>
        <v>2.5</v>
      </c>
      <c r="Y242" s="41">
        <f t="shared" si="90"/>
        <v>50</v>
      </c>
      <c r="Z242" s="43">
        <f t="shared" si="103"/>
        <v>2.5</v>
      </c>
      <c r="AA242" s="41">
        <f t="shared" si="91"/>
        <v>50</v>
      </c>
      <c r="AB242" s="43">
        <f t="shared" si="104"/>
        <v>2.5</v>
      </c>
      <c r="AC242" s="41">
        <f t="shared" si="92"/>
        <v>50</v>
      </c>
      <c r="AD242" s="41">
        <f t="shared" si="105"/>
        <v>2.5</v>
      </c>
      <c r="AE242" s="41">
        <f t="shared" si="93"/>
        <v>50</v>
      </c>
      <c r="AF242" s="41">
        <f t="shared" si="106"/>
        <v>2.5</v>
      </c>
      <c r="AG242" s="41">
        <f t="shared" si="94"/>
        <v>50</v>
      </c>
      <c r="AH242" s="41">
        <f t="shared" si="107"/>
        <v>2.5</v>
      </c>
      <c r="AI242" s="41">
        <f t="shared" si="95"/>
        <v>50</v>
      </c>
      <c r="AJ242" s="41">
        <f t="shared" si="108"/>
        <v>2.5</v>
      </c>
      <c r="AK242" s="41">
        <f t="shared" si="96"/>
        <v>50</v>
      </c>
      <c r="AL242" s="33">
        <f t="shared" si="80"/>
        <v>600</v>
      </c>
    </row>
    <row r="243" spans="2:38" ht="57.75" x14ac:dyDescent="0.25">
      <c r="B243" s="14">
        <v>24601</v>
      </c>
      <c r="C243" s="14" t="s">
        <v>246</v>
      </c>
      <c r="D243" s="49">
        <v>0</v>
      </c>
      <c r="E243" s="14">
        <v>6</v>
      </c>
      <c r="F243" s="14" t="s">
        <v>241</v>
      </c>
      <c r="G243" s="27" t="s">
        <v>89</v>
      </c>
      <c r="H243" s="28" t="s">
        <v>43</v>
      </c>
      <c r="I243" s="143" t="s">
        <v>44</v>
      </c>
      <c r="J243" s="144"/>
      <c r="K243" s="17">
        <v>80</v>
      </c>
      <c r="L243" s="17">
        <f t="shared" si="84"/>
        <v>480</v>
      </c>
      <c r="M243" s="40"/>
      <c r="N243" s="41"/>
      <c r="O243" s="41"/>
      <c r="P243" s="41"/>
      <c r="Q243" s="41"/>
      <c r="R243" s="41"/>
      <c r="S243" s="41"/>
      <c r="T243" s="43"/>
      <c r="U243" s="41"/>
      <c r="V243" s="41">
        <v>3</v>
      </c>
      <c r="W243" s="41">
        <f>V243*K243</f>
        <v>240</v>
      </c>
      <c r="X243" s="43"/>
      <c r="Y243" s="41"/>
      <c r="Z243" s="43"/>
      <c r="AA243" s="41"/>
      <c r="AB243" s="43"/>
      <c r="AC243" s="41"/>
      <c r="AD243" s="41">
        <v>3</v>
      </c>
      <c r="AE243" s="41">
        <f>AD243*K243</f>
        <v>240</v>
      </c>
      <c r="AF243" s="41"/>
      <c r="AG243" s="41"/>
      <c r="AH243" s="41"/>
      <c r="AI243" s="41"/>
      <c r="AJ243" s="41"/>
      <c r="AK243" s="41"/>
      <c r="AL243" s="33">
        <f t="shared" si="80"/>
        <v>480</v>
      </c>
    </row>
    <row r="244" spans="2:38" ht="57.75" x14ac:dyDescent="0.25">
      <c r="B244" s="49">
        <v>24601</v>
      </c>
      <c r="C244" s="49" t="s">
        <v>247</v>
      </c>
      <c r="D244" s="49">
        <v>0</v>
      </c>
      <c r="E244" s="49">
        <v>2</v>
      </c>
      <c r="F244" s="49" t="s">
        <v>49</v>
      </c>
      <c r="G244" s="64" t="s">
        <v>89</v>
      </c>
      <c r="H244" s="28" t="s">
        <v>43</v>
      </c>
      <c r="I244" s="143" t="s">
        <v>44</v>
      </c>
      <c r="J244" s="144"/>
      <c r="K244" s="50">
        <v>40</v>
      </c>
      <c r="L244" s="50">
        <f t="shared" si="84"/>
        <v>80</v>
      </c>
      <c r="M244" s="51"/>
      <c r="N244" s="41"/>
      <c r="O244" s="41"/>
      <c r="P244" s="41"/>
      <c r="Q244" s="41"/>
      <c r="R244" s="41"/>
      <c r="S244" s="41"/>
      <c r="T244" s="43">
        <v>1</v>
      </c>
      <c r="U244" s="41">
        <f t="shared" si="88"/>
        <v>40</v>
      </c>
      <c r="V244" s="41"/>
      <c r="W244" s="41"/>
      <c r="X244" s="43"/>
      <c r="Y244" s="41"/>
      <c r="Z244" s="43">
        <v>1</v>
      </c>
      <c r="AA244" s="41">
        <f t="shared" si="91"/>
        <v>40</v>
      </c>
      <c r="AB244" s="43"/>
      <c r="AC244" s="41"/>
      <c r="AD244" s="41"/>
      <c r="AE244" s="41"/>
      <c r="AF244" s="41"/>
      <c r="AG244" s="41"/>
      <c r="AH244" s="41"/>
      <c r="AI244" s="41"/>
      <c r="AJ244" s="41"/>
      <c r="AK244" s="41"/>
      <c r="AL244" s="33">
        <f t="shared" si="80"/>
        <v>80</v>
      </c>
    </row>
    <row r="245" spans="2:38" ht="57.75" x14ac:dyDescent="0.25">
      <c r="B245" s="49">
        <v>24601</v>
      </c>
      <c r="C245" s="49" t="s">
        <v>248</v>
      </c>
      <c r="D245" s="49">
        <v>0</v>
      </c>
      <c r="E245" s="49">
        <v>8</v>
      </c>
      <c r="F245" s="49" t="s">
        <v>49</v>
      </c>
      <c r="G245" s="64" t="s">
        <v>89</v>
      </c>
      <c r="H245" s="28" t="s">
        <v>43</v>
      </c>
      <c r="I245" s="143" t="s">
        <v>44</v>
      </c>
      <c r="J245" s="144"/>
      <c r="K245" s="50">
        <v>90</v>
      </c>
      <c r="L245" s="50">
        <f t="shared" si="84"/>
        <v>720</v>
      </c>
      <c r="M245" s="51"/>
      <c r="N245" s="41"/>
      <c r="O245" s="41"/>
      <c r="P245" s="41">
        <v>2</v>
      </c>
      <c r="Q245" s="41">
        <f t="shared" ref="Q245" si="109">E245*P245</f>
        <v>16</v>
      </c>
      <c r="R245" s="41"/>
      <c r="S245" s="41"/>
      <c r="T245" s="43"/>
      <c r="U245" s="41"/>
      <c r="V245" s="41">
        <v>2</v>
      </c>
      <c r="W245" s="41">
        <f t="shared" si="89"/>
        <v>180</v>
      </c>
      <c r="X245" s="43">
        <v>2</v>
      </c>
      <c r="Y245" s="41">
        <f t="shared" si="90"/>
        <v>180</v>
      </c>
      <c r="Z245" s="43"/>
      <c r="AA245" s="41"/>
      <c r="AB245" s="43"/>
      <c r="AC245" s="41"/>
      <c r="AD245" s="41">
        <v>2</v>
      </c>
      <c r="AE245" s="41">
        <f t="shared" si="93"/>
        <v>180</v>
      </c>
      <c r="AF245" s="41"/>
      <c r="AG245" s="41"/>
      <c r="AH245" s="41">
        <v>2</v>
      </c>
      <c r="AI245" s="41">
        <f t="shared" si="95"/>
        <v>180</v>
      </c>
      <c r="AJ245" s="41"/>
      <c r="AK245" s="41"/>
      <c r="AL245" s="33">
        <f t="shared" si="80"/>
        <v>736</v>
      </c>
    </row>
    <row r="246" spans="2:38" ht="57.75" x14ac:dyDescent="0.25">
      <c r="B246" s="49">
        <v>24601</v>
      </c>
      <c r="C246" s="49" t="s">
        <v>249</v>
      </c>
      <c r="D246" s="49">
        <v>0</v>
      </c>
      <c r="E246" s="49">
        <v>1</v>
      </c>
      <c r="F246" s="49" t="s">
        <v>49</v>
      </c>
      <c r="G246" s="64" t="s">
        <v>89</v>
      </c>
      <c r="H246" s="28" t="s">
        <v>43</v>
      </c>
      <c r="I246" s="143" t="s">
        <v>44</v>
      </c>
      <c r="J246" s="144"/>
      <c r="K246" s="50">
        <f>850+121.56</f>
        <v>971.56</v>
      </c>
      <c r="L246" s="50">
        <f t="shared" si="84"/>
        <v>971.56</v>
      </c>
      <c r="M246" s="51"/>
      <c r="N246" s="41"/>
      <c r="O246" s="41"/>
      <c r="P246" s="41">
        <v>1</v>
      </c>
      <c r="Q246" s="41">
        <f t="shared" si="86"/>
        <v>971.56</v>
      </c>
      <c r="R246" s="41"/>
      <c r="S246" s="41"/>
      <c r="T246" s="43"/>
      <c r="U246" s="41"/>
      <c r="V246" s="41"/>
      <c r="W246" s="41"/>
      <c r="X246" s="43"/>
      <c r="Y246" s="41"/>
      <c r="Z246" s="43"/>
      <c r="AA246" s="41"/>
      <c r="AB246" s="43"/>
      <c r="AC246" s="41"/>
      <c r="AD246" s="41"/>
      <c r="AE246" s="41"/>
      <c r="AF246" s="41"/>
      <c r="AG246" s="41"/>
      <c r="AH246" s="41"/>
      <c r="AI246" s="41"/>
      <c r="AJ246" s="41"/>
      <c r="AK246" s="41"/>
      <c r="AL246" s="33">
        <f t="shared" si="80"/>
        <v>971.56</v>
      </c>
    </row>
    <row r="247" spans="2:38" ht="57.75" x14ac:dyDescent="0.25">
      <c r="B247" s="49">
        <v>24601</v>
      </c>
      <c r="C247" s="14" t="s">
        <v>250</v>
      </c>
      <c r="D247" s="49">
        <v>0</v>
      </c>
      <c r="E247" s="14">
        <v>7</v>
      </c>
      <c r="F247" s="12" t="s">
        <v>49</v>
      </c>
      <c r="G247" s="27" t="s">
        <v>42</v>
      </c>
      <c r="H247" s="28" t="s">
        <v>43</v>
      </c>
      <c r="I247" s="143" t="s">
        <v>44</v>
      </c>
      <c r="J247" s="144"/>
      <c r="K247" s="38">
        <v>180</v>
      </c>
      <c r="L247" s="29">
        <f t="shared" si="84"/>
        <v>1260</v>
      </c>
      <c r="M247" s="51"/>
      <c r="N247" s="41"/>
      <c r="O247" s="41"/>
      <c r="P247" s="41">
        <v>2</v>
      </c>
      <c r="Q247" s="41">
        <f t="shared" si="86"/>
        <v>360</v>
      </c>
      <c r="R247" s="41"/>
      <c r="S247" s="41"/>
      <c r="T247" s="43"/>
      <c r="U247" s="41"/>
      <c r="V247" s="41">
        <v>3</v>
      </c>
      <c r="W247" s="41">
        <f t="shared" si="89"/>
        <v>540</v>
      </c>
      <c r="X247" s="43"/>
      <c r="Y247" s="41"/>
      <c r="Z247" s="43"/>
      <c r="AA247" s="41"/>
      <c r="AB247" s="43"/>
      <c r="AC247" s="41"/>
      <c r="AD247" s="41">
        <v>2</v>
      </c>
      <c r="AE247" s="41">
        <f t="shared" si="93"/>
        <v>360</v>
      </c>
      <c r="AF247" s="41"/>
      <c r="AG247" s="41"/>
      <c r="AH247" s="41"/>
      <c r="AI247" s="41"/>
      <c r="AJ247" s="41"/>
      <c r="AK247" s="41"/>
      <c r="AL247" s="33">
        <f t="shared" si="80"/>
        <v>1260</v>
      </c>
    </row>
    <row r="248" spans="2:38" ht="57.75" x14ac:dyDescent="0.25">
      <c r="B248" s="49">
        <v>24601</v>
      </c>
      <c r="C248" s="49" t="s">
        <v>251</v>
      </c>
      <c r="D248" s="49">
        <v>0</v>
      </c>
      <c r="E248" s="49">
        <v>12</v>
      </c>
      <c r="F248" s="49" t="s">
        <v>49</v>
      </c>
      <c r="G248" s="64" t="s">
        <v>89</v>
      </c>
      <c r="H248" s="28" t="s">
        <v>43</v>
      </c>
      <c r="I248" s="143" t="s">
        <v>44</v>
      </c>
      <c r="J248" s="144"/>
      <c r="K248" s="50">
        <v>100</v>
      </c>
      <c r="L248" s="50">
        <f t="shared" si="84"/>
        <v>1200</v>
      </c>
      <c r="M248" s="51"/>
      <c r="N248" s="41">
        <f t="shared" si="97"/>
        <v>1</v>
      </c>
      <c r="O248" s="41">
        <f t="shared" si="85"/>
        <v>100</v>
      </c>
      <c r="P248" s="41">
        <f t="shared" si="98"/>
        <v>1</v>
      </c>
      <c r="Q248" s="41">
        <f t="shared" si="86"/>
        <v>100</v>
      </c>
      <c r="R248" s="41">
        <f t="shared" si="99"/>
        <v>1</v>
      </c>
      <c r="S248" s="41">
        <f t="shared" si="87"/>
        <v>100</v>
      </c>
      <c r="T248" s="43">
        <f t="shared" si="100"/>
        <v>1</v>
      </c>
      <c r="U248" s="41">
        <f t="shared" si="88"/>
        <v>100</v>
      </c>
      <c r="V248" s="41">
        <f t="shared" si="101"/>
        <v>1</v>
      </c>
      <c r="W248" s="41">
        <f t="shared" si="89"/>
        <v>100</v>
      </c>
      <c r="X248" s="43">
        <f t="shared" si="102"/>
        <v>1</v>
      </c>
      <c r="Y248" s="41">
        <f t="shared" si="90"/>
        <v>100</v>
      </c>
      <c r="Z248" s="43">
        <f t="shared" si="103"/>
        <v>1</v>
      </c>
      <c r="AA248" s="41">
        <f t="shared" si="91"/>
        <v>100</v>
      </c>
      <c r="AB248" s="43">
        <f t="shared" si="104"/>
        <v>1</v>
      </c>
      <c r="AC248" s="41">
        <f t="shared" si="92"/>
        <v>100</v>
      </c>
      <c r="AD248" s="41">
        <f t="shared" si="105"/>
        <v>1</v>
      </c>
      <c r="AE248" s="41">
        <f t="shared" si="93"/>
        <v>100</v>
      </c>
      <c r="AF248" s="41">
        <f t="shared" si="106"/>
        <v>1</v>
      </c>
      <c r="AG248" s="41">
        <f t="shared" si="94"/>
        <v>100</v>
      </c>
      <c r="AH248" s="41">
        <f t="shared" si="107"/>
        <v>1</v>
      </c>
      <c r="AI248" s="41">
        <f t="shared" si="95"/>
        <v>100</v>
      </c>
      <c r="AJ248" s="41">
        <f t="shared" si="108"/>
        <v>1</v>
      </c>
      <c r="AK248" s="41">
        <f t="shared" si="96"/>
        <v>100</v>
      </c>
      <c r="AL248" s="33">
        <f t="shared" si="80"/>
        <v>1200</v>
      </c>
    </row>
    <row r="249" spans="2:38" ht="57.75" x14ac:dyDescent="0.25">
      <c r="B249" s="49">
        <v>24601</v>
      </c>
      <c r="C249" s="49" t="s">
        <v>252</v>
      </c>
      <c r="D249" s="49">
        <v>0</v>
      </c>
      <c r="E249" s="49">
        <v>12</v>
      </c>
      <c r="F249" s="49" t="s">
        <v>49</v>
      </c>
      <c r="G249" s="64" t="s">
        <v>89</v>
      </c>
      <c r="H249" s="28" t="s">
        <v>43</v>
      </c>
      <c r="I249" s="143" t="s">
        <v>44</v>
      </c>
      <c r="J249" s="144"/>
      <c r="K249" s="50">
        <v>19.5</v>
      </c>
      <c r="L249" s="50">
        <f t="shared" si="84"/>
        <v>234</v>
      </c>
      <c r="M249" s="51"/>
      <c r="N249" s="41">
        <f t="shared" si="97"/>
        <v>1</v>
      </c>
      <c r="O249" s="41">
        <f t="shared" si="85"/>
        <v>19.5</v>
      </c>
      <c r="P249" s="41">
        <f t="shared" si="98"/>
        <v>1</v>
      </c>
      <c r="Q249" s="41">
        <f t="shared" si="86"/>
        <v>19.5</v>
      </c>
      <c r="R249" s="41">
        <f t="shared" si="99"/>
        <v>1</v>
      </c>
      <c r="S249" s="41">
        <f t="shared" si="87"/>
        <v>19.5</v>
      </c>
      <c r="T249" s="43">
        <f t="shared" si="100"/>
        <v>1</v>
      </c>
      <c r="U249" s="41">
        <f t="shared" si="88"/>
        <v>19.5</v>
      </c>
      <c r="V249" s="41">
        <f t="shared" si="101"/>
        <v>1</v>
      </c>
      <c r="W249" s="41">
        <f t="shared" si="89"/>
        <v>19.5</v>
      </c>
      <c r="X249" s="43">
        <f t="shared" si="102"/>
        <v>1</v>
      </c>
      <c r="Y249" s="41">
        <f t="shared" si="90"/>
        <v>19.5</v>
      </c>
      <c r="Z249" s="43">
        <f t="shared" si="103"/>
        <v>1</v>
      </c>
      <c r="AA249" s="41">
        <f t="shared" si="91"/>
        <v>19.5</v>
      </c>
      <c r="AB249" s="43">
        <f t="shared" si="104"/>
        <v>1</v>
      </c>
      <c r="AC249" s="41">
        <f t="shared" si="92"/>
        <v>19.5</v>
      </c>
      <c r="AD249" s="41">
        <f t="shared" si="105"/>
        <v>1</v>
      </c>
      <c r="AE249" s="41">
        <f t="shared" si="93"/>
        <v>19.5</v>
      </c>
      <c r="AF249" s="41">
        <f t="shared" si="106"/>
        <v>1</v>
      </c>
      <c r="AG249" s="41">
        <f t="shared" si="94"/>
        <v>19.5</v>
      </c>
      <c r="AH249" s="41">
        <f t="shared" si="107"/>
        <v>1</v>
      </c>
      <c r="AI249" s="41">
        <f t="shared" si="95"/>
        <v>19.5</v>
      </c>
      <c r="AJ249" s="41">
        <f t="shared" si="108"/>
        <v>1</v>
      </c>
      <c r="AK249" s="41">
        <f t="shared" si="96"/>
        <v>19.5</v>
      </c>
      <c r="AL249" s="33">
        <f t="shared" si="80"/>
        <v>234</v>
      </c>
    </row>
    <row r="250" spans="2:38" ht="57.75" x14ac:dyDescent="0.25">
      <c r="B250" s="49">
        <v>24601</v>
      </c>
      <c r="C250" s="49" t="s">
        <v>253</v>
      </c>
      <c r="D250" s="49">
        <v>0</v>
      </c>
      <c r="E250" s="49">
        <v>30</v>
      </c>
      <c r="F250" s="49" t="s">
        <v>241</v>
      </c>
      <c r="G250" s="64" t="s">
        <v>89</v>
      </c>
      <c r="H250" s="28" t="s">
        <v>43</v>
      </c>
      <c r="I250" s="143" t="s">
        <v>44</v>
      </c>
      <c r="J250" s="144"/>
      <c r="K250" s="50">
        <v>30</v>
      </c>
      <c r="L250" s="50">
        <f t="shared" si="84"/>
        <v>900</v>
      </c>
      <c r="M250" s="51"/>
      <c r="N250" s="41"/>
      <c r="O250" s="41"/>
      <c r="P250" s="41"/>
      <c r="Q250" s="41"/>
      <c r="R250" s="41"/>
      <c r="S250" s="41"/>
      <c r="T250" s="43">
        <v>15</v>
      </c>
      <c r="U250" s="41">
        <f t="shared" si="88"/>
        <v>450</v>
      </c>
      <c r="V250" s="41"/>
      <c r="W250" s="41"/>
      <c r="X250" s="43"/>
      <c r="Y250" s="41"/>
      <c r="Z250" s="43"/>
      <c r="AA250" s="41"/>
      <c r="AB250" s="43">
        <v>15</v>
      </c>
      <c r="AC250" s="41">
        <f t="shared" si="92"/>
        <v>450</v>
      </c>
      <c r="AD250" s="41"/>
      <c r="AE250" s="41"/>
      <c r="AF250" s="41"/>
      <c r="AG250" s="41"/>
      <c r="AH250" s="41"/>
      <c r="AI250" s="41"/>
      <c r="AJ250" s="41"/>
      <c r="AK250" s="41"/>
      <c r="AL250" s="33">
        <f t="shared" si="80"/>
        <v>900</v>
      </c>
    </row>
    <row r="251" spans="2:38" ht="57.75" x14ac:dyDescent="0.25">
      <c r="B251" s="49">
        <v>24601</v>
      </c>
      <c r="C251" s="49" t="s">
        <v>254</v>
      </c>
      <c r="D251" s="49">
        <v>0</v>
      </c>
      <c r="E251" s="49">
        <v>16</v>
      </c>
      <c r="F251" s="49" t="s">
        <v>49</v>
      </c>
      <c r="G251" s="64" t="s">
        <v>89</v>
      </c>
      <c r="H251" s="28" t="s">
        <v>43</v>
      </c>
      <c r="I251" s="143" t="s">
        <v>44</v>
      </c>
      <c r="J251" s="144"/>
      <c r="K251" s="50">
        <v>280</v>
      </c>
      <c r="L251" s="50">
        <f t="shared" si="84"/>
        <v>4480</v>
      </c>
      <c r="M251" s="51"/>
      <c r="N251" s="41">
        <v>2</v>
      </c>
      <c r="O251" s="41">
        <f t="shared" si="85"/>
        <v>560</v>
      </c>
      <c r="P251" s="41">
        <v>1</v>
      </c>
      <c r="Q251" s="41">
        <f t="shared" si="86"/>
        <v>280</v>
      </c>
      <c r="R251" s="41">
        <v>1</v>
      </c>
      <c r="S251" s="41">
        <f t="shared" si="87"/>
        <v>280</v>
      </c>
      <c r="T251" s="43">
        <v>2</v>
      </c>
      <c r="U251" s="41">
        <f t="shared" si="88"/>
        <v>560</v>
      </c>
      <c r="V251" s="41">
        <v>2</v>
      </c>
      <c r="W251" s="41">
        <f t="shared" si="89"/>
        <v>560</v>
      </c>
      <c r="X251" s="43">
        <v>1</v>
      </c>
      <c r="Y251" s="41">
        <f t="shared" si="90"/>
        <v>280</v>
      </c>
      <c r="Z251" s="43">
        <v>1</v>
      </c>
      <c r="AA251" s="41">
        <f t="shared" si="91"/>
        <v>280</v>
      </c>
      <c r="AB251" s="43">
        <v>2</v>
      </c>
      <c r="AC251" s="41">
        <f t="shared" si="92"/>
        <v>560</v>
      </c>
      <c r="AD251" s="41">
        <v>1</v>
      </c>
      <c r="AE251" s="41">
        <f t="shared" si="93"/>
        <v>280</v>
      </c>
      <c r="AF251" s="41">
        <v>1</v>
      </c>
      <c r="AG251" s="41">
        <f t="shared" si="94"/>
        <v>280</v>
      </c>
      <c r="AH251" s="41">
        <v>1</v>
      </c>
      <c r="AI251" s="41">
        <f t="shared" si="95"/>
        <v>280</v>
      </c>
      <c r="AJ251" s="41">
        <v>1</v>
      </c>
      <c r="AK251" s="41">
        <f t="shared" si="96"/>
        <v>280</v>
      </c>
      <c r="AL251" s="33">
        <f t="shared" si="80"/>
        <v>4480</v>
      </c>
    </row>
    <row r="252" spans="2:38" ht="57.75" x14ac:dyDescent="0.25">
      <c r="B252" s="49">
        <v>24601</v>
      </c>
      <c r="C252" s="49" t="s">
        <v>255</v>
      </c>
      <c r="D252" s="49">
        <v>0</v>
      </c>
      <c r="E252" s="49">
        <v>24</v>
      </c>
      <c r="F252" s="49" t="s">
        <v>49</v>
      </c>
      <c r="G252" s="64" t="s">
        <v>89</v>
      </c>
      <c r="H252" s="28" t="s">
        <v>43</v>
      </c>
      <c r="I252" s="143" t="s">
        <v>44</v>
      </c>
      <c r="J252" s="144"/>
      <c r="K252" s="50">
        <v>50</v>
      </c>
      <c r="L252" s="50">
        <f t="shared" si="84"/>
        <v>1200</v>
      </c>
      <c r="M252" s="51"/>
      <c r="N252" s="41">
        <f t="shared" si="97"/>
        <v>2</v>
      </c>
      <c r="O252" s="41">
        <f t="shared" si="85"/>
        <v>100</v>
      </c>
      <c r="P252" s="41">
        <f t="shared" si="98"/>
        <v>2</v>
      </c>
      <c r="Q252" s="41">
        <f t="shared" si="86"/>
        <v>100</v>
      </c>
      <c r="R252" s="41">
        <f t="shared" si="99"/>
        <v>2</v>
      </c>
      <c r="S252" s="41">
        <f t="shared" si="87"/>
        <v>100</v>
      </c>
      <c r="T252" s="43">
        <f t="shared" si="100"/>
        <v>2</v>
      </c>
      <c r="U252" s="41">
        <f t="shared" si="88"/>
        <v>100</v>
      </c>
      <c r="V252" s="41">
        <f t="shared" si="101"/>
        <v>2</v>
      </c>
      <c r="W252" s="41">
        <f t="shared" si="89"/>
        <v>100</v>
      </c>
      <c r="X252" s="43">
        <f t="shared" si="102"/>
        <v>2</v>
      </c>
      <c r="Y252" s="41">
        <f t="shared" si="90"/>
        <v>100</v>
      </c>
      <c r="Z252" s="43">
        <f t="shared" si="103"/>
        <v>2</v>
      </c>
      <c r="AA252" s="41">
        <f t="shared" si="91"/>
        <v>100</v>
      </c>
      <c r="AB252" s="43">
        <f t="shared" si="104"/>
        <v>2</v>
      </c>
      <c r="AC252" s="41">
        <f t="shared" si="92"/>
        <v>100</v>
      </c>
      <c r="AD252" s="41">
        <f t="shared" si="105"/>
        <v>2</v>
      </c>
      <c r="AE252" s="41">
        <f t="shared" si="93"/>
        <v>100</v>
      </c>
      <c r="AF252" s="41">
        <f t="shared" si="106"/>
        <v>2</v>
      </c>
      <c r="AG252" s="41">
        <f t="shared" si="94"/>
        <v>100</v>
      </c>
      <c r="AH252" s="41">
        <f t="shared" si="107"/>
        <v>2</v>
      </c>
      <c r="AI252" s="41">
        <f t="shared" si="95"/>
        <v>100</v>
      </c>
      <c r="AJ252" s="41">
        <f t="shared" si="108"/>
        <v>2</v>
      </c>
      <c r="AK252" s="41">
        <f t="shared" si="96"/>
        <v>100</v>
      </c>
      <c r="AL252" s="33">
        <f t="shared" si="80"/>
        <v>1200</v>
      </c>
    </row>
    <row r="253" spans="2:38" ht="57.75" x14ac:dyDescent="0.25">
      <c r="B253" s="49">
        <v>24601</v>
      </c>
      <c r="C253" s="49" t="s">
        <v>256</v>
      </c>
      <c r="D253" s="49">
        <v>0</v>
      </c>
      <c r="E253" s="49">
        <v>3</v>
      </c>
      <c r="F253" s="49" t="s">
        <v>49</v>
      </c>
      <c r="G253" s="64" t="s">
        <v>89</v>
      </c>
      <c r="H253" s="28" t="s">
        <v>43</v>
      </c>
      <c r="I253" s="143" t="s">
        <v>44</v>
      </c>
      <c r="J253" s="144"/>
      <c r="K253" s="50">
        <v>80</v>
      </c>
      <c r="L253" s="50">
        <f t="shared" si="84"/>
        <v>240</v>
      </c>
      <c r="M253" s="51"/>
      <c r="N253" s="41"/>
      <c r="O253" s="41"/>
      <c r="P253" s="41"/>
      <c r="Q253" s="41"/>
      <c r="R253" s="41"/>
      <c r="S253" s="41"/>
      <c r="T253" s="43">
        <v>1</v>
      </c>
      <c r="U253" s="41">
        <f t="shared" si="88"/>
        <v>80</v>
      </c>
      <c r="V253" s="41">
        <v>1</v>
      </c>
      <c r="W253" s="41">
        <f t="shared" si="89"/>
        <v>80</v>
      </c>
      <c r="X253" s="43"/>
      <c r="Y253" s="41"/>
      <c r="Z253" s="43"/>
      <c r="AA253" s="41"/>
      <c r="AB253" s="43"/>
      <c r="AC253" s="41"/>
      <c r="AD253" s="41">
        <v>1</v>
      </c>
      <c r="AE253" s="41">
        <f t="shared" si="93"/>
        <v>80</v>
      </c>
      <c r="AF253" s="41"/>
      <c r="AG253" s="41"/>
      <c r="AH253" s="41"/>
      <c r="AI253" s="41"/>
      <c r="AJ253" s="41"/>
      <c r="AK253" s="41"/>
      <c r="AL253" s="33">
        <f t="shared" si="80"/>
        <v>240</v>
      </c>
    </row>
    <row r="254" spans="2:38" ht="57.75" x14ac:dyDescent="0.25">
      <c r="B254" s="49">
        <v>24601</v>
      </c>
      <c r="C254" s="49" t="s">
        <v>257</v>
      </c>
      <c r="D254" s="49">
        <v>0</v>
      </c>
      <c r="E254" s="49">
        <v>2</v>
      </c>
      <c r="F254" s="49" t="s">
        <v>49</v>
      </c>
      <c r="G254" s="64" t="s">
        <v>89</v>
      </c>
      <c r="H254" s="28" t="s">
        <v>43</v>
      </c>
      <c r="I254" s="143" t="s">
        <v>44</v>
      </c>
      <c r="J254" s="144"/>
      <c r="K254" s="50">
        <v>100</v>
      </c>
      <c r="L254" s="50">
        <f t="shared" si="84"/>
        <v>200</v>
      </c>
      <c r="M254" s="51"/>
      <c r="N254" s="41"/>
      <c r="O254" s="41"/>
      <c r="P254" s="41">
        <v>1</v>
      </c>
      <c r="Q254" s="41">
        <f t="shared" si="86"/>
        <v>100</v>
      </c>
      <c r="R254" s="41"/>
      <c r="S254" s="41"/>
      <c r="T254" s="43"/>
      <c r="U254" s="41"/>
      <c r="V254" s="41"/>
      <c r="W254" s="41"/>
      <c r="X254" s="43"/>
      <c r="Y254" s="41"/>
      <c r="Z254" s="43">
        <v>1</v>
      </c>
      <c r="AA254" s="41">
        <f t="shared" si="91"/>
        <v>100</v>
      </c>
      <c r="AB254" s="43"/>
      <c r="AC254" s="41"/>
      <c r="AD254" s="41"/>
      <c r="AE254" s="41"/>
      <c r="AF254" s="41"/>
      <c r="AG254" s="41"/>
      <c r="AH254" s="41"/>
      <c r="AI254" s="41"/>
      <c r="AJ254" s="41"/>
      <c r="AK254" s="41"/>
      <c r="AL254" s="33">
        <f t="shared" si="80"/>
        <v>200</v>
      </c>
    </row>
    <row r="255" spans="2:38" ht="57.75" x14ac:dyDescent="0.25">
      <c r="B255" s="49">
        <v>24601</v>
      </c>
      <c r="C255" s="49" t="s">
        <v>258</v>
      </c>
      <c r="D255" s="49">
        <v>0</v>
      </c>
      <c r="E255" s="49">
        <v>8</v>
      </c>
      <c r="F255" s="49" t="s">
        <v>49</v>
      </c>
      <c r="G255" s="64" t="s">
        <v>89</v>
      </c>
      <c r="H255" s="28" t="s">
        <v>43</v>
      </c>
      <c r="I255" s="143" t="s">
        <v>44</v>
      </c>
      <c r="J255" s="144"/>
      <c r="K255" s="50">
        <v>120</v>
      </c>
      <c r="L255" s="50">
        <f t="shared" si="84"/>
        <v>960</v>
      </c>
      <c r="M255" s="51"/>
      <c r="N255" s="41">
        <v>1</v>
      </c>
      <c r="O255" s="41">
        <f t="shared" si="85"/>
        <v>120</v>
      </c>
      <c r="P255" s="41"/>
      <c r="Q255" s="41"/>
      <c r="R255" s="41">
        <v>1</v>
      </c>
      <c r="S255" s="41">
        <f t="shared" si="87"/>
        <v>120</v>
      </c>
      <c r="T255" s="43">
        <v>2</v>
      </c>
      <c r="U255" s="41">
        <f t="shared" si="88"/>
        <v>240</v>
      </c>
      <c r="V255" s="41"/>
      <c r="W255" s="41"/>
      <c r="X255" s="43">
        <v>2</v>
      </c>
      <c r="Y255" s="41">
        <f t="shared" si="90"/>
        <v>240</v>
      </c>
      <c r="Z255" s="43"/>
      <c r="AA255" s="41"/>
      <c r="AB255" s="43"/>
      <c r="AC255" s="41"/>
      <c r="AD255" s="41">
        <v>2</v>
      </c>
      <c r="AE255" s="41">
        <f t="shared" si="93"/>
        <v>240</v>
      </c>
      <c r="AF255" s="41"/>
      <c r="AG255" s="41"/>
      <c r="AH255" s="41"/>
      <c r="AI255" s="41"/>
      <c r="AJ255" s="41"/>
      <c r="AK255" s="41"/>
      <c r="AL255" s="33">
        <f t="shared" si="80"/>
        <v>960</v>
      </c>
    </row>
    <row r="256" spans="2:38" ht="57.75" x14ac:dyDescent="0.25">
      <c r="B256" s="49">
        <v>24601</v>
      </c>
      <c r="C256" s="49" t="s">
        <v>259</v>
      </c>
      <c r="D256" s="49">
        <v>0</v>
      </c>
      <c r="E256" s="49">
        <v>1</v>
      </c>
      <c r="F256" s="49" t="s">
        <v>49</v>
      </c>
      <c r="G256" s="64" t="s">
        <v>89</v>
      </c>
      <c r="H256" s="28" t="s">
        <v>43</v>
      </c>
      <c r="I256" s="143" t="s">
        <v>44</v>
      </c>
      <c r="J256" s="144"/>
      <c r="K256" s="50">
        <v>600</v>
      </c>
      <c r="L256" s="50">
        <f t="shared" si="84"/>
        <v>600</v>
      </c>
      <c r="M256" s="51"/>
      <c r="N256" s="41"/>
      <c r="O256" s="41"/>
      <c r="P256" s="41"/>
      <c r="Q256" s="41"/>
      <c r="R256" s="41"/>
      <c r="S256" s="41"/>
      <c r="T256" s="43">
        <v>1</v>
      </c>
      <c r="U256" s="41">
        <f t="shared" si="88"/>
        <v>600</v>
      </c>
      <c r="V256" s="41"/>
      <c r="W256" s="41"/>
      <c r="X256" s="43"/>
      <c r="Y256" s="41"/>
      <c r="Z256" s="43"/>
      <c r="AA256" s="41"/>
      <c r="AB256" s="43"/>
      <c r="AC256" s="41"/>
      <c r="AD256" s="41"/>
      <c r="AE256" s="41"/>
      <c r="AF256" s="41"/>
      <c r="AG256" s="41"/>
      <c r="AH256" s="41"/>
      <c r="AI256" s="41"/>
      <c r="AJ256" s="41"/>
      <c r="AK256" s="41"/>
      <c r="AL256" s="33">
        <f t="shared" si="80"/>
        <v>600</v>
      </c>
    </row>
    <row r="257" spans="2:38" ht="57.75" x14ac:dyDescent="0.25">
      <c r="B257" s="49">
        <v>24601</v>
      </c>
      <c r="C257" s="25" t="s">
        <v>260</v>
      </c>
      <c r="D257" s="49">
        <v>0</v>
      </c>
      <c r="E257" s="14">
        <v>60</v>
      </c>
      <c r="F257" s="14" t="s">
        <v>49</v>
      </c>
      <c r="G257" s="27" t="s">
        <v>42</v>
      </c>
      <c r="H257" s="28" t="s">
        <v>43</v>
      </c>
      <c r="I257" s="143" t="s">
        <v>44</v>
      </c>
      <c r="J257" s="144"/>
      <c r="K257" s="38">
        <f>21.91*1.1</f>
        <v>24.101000000000003</v>
      </c>
      <c r="L257" s="29">
        <f t="shared" si="84"/>
        <v>1446.0600000000002</v>
      </c>
      <c r="M257" s="51"/>
      <c r="N257" s="41">
        <f t="shared" si="97"/>
        <v>5</v>
      </c>
      <c r="O257" s="41">
        <f>N257*K257</f>
        <v>120.50500000000001</v>
      </c>
      <c r="P257" s="41">
        <v>5</v>
      </c>
      <c r="Q257" s="41">
        <f>P257*K257</f>
        <v>120.50500000000001</v>
      </c>
      <c r="R257" s="41">
        <v>5</v>
      </c>
      <c r="S257" s="41">
        <f>R257*K257</f>
        <v>120.50500000000001</v>
      </c>
      <c r="T257" s="43">
        <v>5</v>
      </c>
      <c r="U257" s="41">
        <f>T257*K257</f>
        <v>120.50500000000001</v>
      </c>
      <c r="V257" s="41">
        <v>5</v>
      </c>
      <c r="W257" s="41">
        <f>V257*K257</f>
        <v>120.50500000000001</v>
      </c>
      <c r="X257" s="43">
        <v>5</v>
      </c>
      <c r="Y257" s="41">
        <f>X257*K257</f>
        <v>120.50500000000001</v>
      </c>
      <c r="Z257" s="43">
        <v>5</v>
      </c>
      <c r="AA257" s="41">
        <f>Z257*K257</f>
        <v>120.50500000000001</v>
      </c>
      <c r="AB257" s="43">
        <v>5</v>
      </c>
      <c r="AC257" s="41">
        <f>AB257*K257</f>
        <v>120.50500000000001</v>
      </c>
      <c r="AD257" s="41">
        <v>5</v>
      </c>
      <c r="AE257" s="41">
        <f>AD257*K257</f>
        <v>120.50500000000001</v>
      </c>
      <c r="AF257" s="41">
        <v>5</v>
      </c>
      <c r="AG257" s="41">
        <f>AF257*K257</f>
        <v>120.50500000000001</v>
      </c>
      <c r="AH257" s="41">
        <v>5</v>
      </c>
      <c r="AI257" s="41">
        <f>AH257*K257</f>
        <v>120.50500000000001</v>
      </c>
      <c r="AJ257" s="41">
        <v>5</v>
      </c>
      <c r="AK257" s="41">
        <f>AJ257*K257</f>
        <v>120.50500000000001</v>
      </c>
      <c r="AL257" s="33">
        <f t="shared" si="80"/>
        <v>1446.0600000000004</v>
      </c>
    </row>
    <row r="258" spans="2:38" ht="57.75" x14ac:dyDescent="0.25">
      <c r="B258" s="49">
        <v>24601</v>
      </c>
      <c r="C258" s="25" t="s">
        <v>261</v>
      </c>
      <c r="D258" s="49">
        <v>0</v>
      </c>
      <c r="E258" s="14">
        <v>60</v>
      </c>
      <c r="F258" s="14" t="s">
        <v>49</v>
      </c>
      <c r="G258" s="27" t="s">
        <v>42</v>
      </c>
      <c r="H258" s="28" t="s">
        <v>43</v>
      </c>
      <c r="I258" s="143" t="s">
        <v>44</v>
      </c>
      <c r="J258" s="144"/>
      <c r="K258" s="38">
        <f>21.91*1.1</f>
        <v>24.101000000000003</v>
      </c>
      <c r="L258" s="29">
        <f t="shared" si="84"/>
        <v>1446.0600000000002</v>
      </c>
      <c r="M258" s="51"/>
      <c r="N258" s="41">
        <f t="shared" si="97"/>
        <v>5</v>
      </c>
      <c r="O258" s="41">
        <f>N258*K258</f>
        <v>120.50500000000001</v>
      </c>
      <c r="P258" s="41">
        <v>5</v>
      </c>
      <c r="Q258" s="41">
        <f>P258*K258</f>
        <v>120.50500000000001</v>
      </c>
      <c r="R258" s="41">
        <v>5</v>
      </c>
      <c r="S258" s="41">
        <f>R258*K258</f>
        <v>120.50500000000001</v>
      </c>
      <c r="T258" s="43">
        <v>5</v>
      </c>
      <c r="U258" s="41">
        <f>T258*K258</f>
        <v>120.50500000000001</v>
      </c>
      <c r="V258" s="41">
        <v>5</v>
      </c>
      <c r="W258" s="41">
        <f>V258*K258</f>
        <v>120.50500000000001</v>
      </c>
      <c r="X258" s="43">
        <v>5</v>
      </c>
      <c r="Y258" s="41">
        <f>X258*K258</f>
        <v>120.50500000000001</v>
      </c>
      <c r="Z258" s="43">
        <v>5</v>
      </c>
      <c r="AA258" s="41">
        <f>Z258*K258</f>
        <v>120.50500000000001</v>
      </c>
      <c r="AB258" s="43">
        <v>5</v>
      </c>
      <c r="AC258" s="41">
        <f>AB258*K258</f>
        <v>120.50500000000001</v>
      </c>
      <c r="AD258" s="41">
        <v>5</v>
      </c>
      <c r="AE258" s="41">
        <f>AD258*K258</f>
        <v>120.50500000000001</v>
      </c>
      <c r="AF258" s="41">
        <v>5</v>
      </c>
      <c r="AG258" s="41">
        <f>AF258*K258</f>
        <v>120.50500000000001</v>
      </c>
      <c r="AH258" s="41">
        <v>5</v>
      </c>
      <c r="AI258" s="41">
        <f>AH258*K258</f>
        <v>120.50500000000001</v>
      </c>
      <c r="AJ258" s="41">
        <v>5</v>
      </c>
      <c r="AK258" s="41">
        <f>AJ258*K258</f>
        <v>120.50500000000001</v>
      </c>
      <c r="AL258" s="33">
        <f t="shared" si="80"/>
        <v>1446.0600000000004</v>
      </c>
    </row>
    <row r="259" spans="2:38" ht="57.75" x14ac:dyDescent="0.25">
      <c r="B259" s="49">
        <v>24602</v>
      </c>
      <c r="C259" s="25" t="s">
        <v>547</v>
      </c>
      <c r="D259" s="49"/>
      <c r="E259" s="14">
        <v>1</v>
      </c>
      <c r="F259" s="14" t="s">
        <v>49</v>
      </c>
      <c r="G259" s="27" t="s">
        <v>42</v>
      </c>
      <c r="H259" s="28" t="s">
        <v>43</v>
      </c>
      <c r="I259" s="143" t="s">
        <v>44</v>
      </c>
      <c r="J259" s="144"/>
      <c r="K259" s="38">
        <v>1</v>
      </c>
      <c r="L259" s="29">
        <f>+E259*K259</f>
        <v>1</v>
      </c>
      <c r="M259" s="51"/>
      <c r="N259" s="41"/>
      <c r="O259" s="41"/>
      <c r="P259" s="41"/>
      <c r="Q259" s="41"/>
      <c r="R259" s="41"/>
      <c r="S259" s="41"/>
      <c r="T259" s="43"/>
      <c r="U259" s="41"/>
      <c r="V259" s="41"/>
      <c r="W259" s="41"/>
      <c r="X259" s="43"/>
      <c r="Y259" s="41"/>
      <c r="Z259" s="43"/>
      <c r="AA259" s="41"/>
      <c r="AB259" s="43"/>
      <c r="AC259" s="41"/>
      <c r="AD259" s="41"/>
      <c r="AE259" s="41"/>
      <c r="AF259" s="41"/>
      <c r="AG259" s="41"/>
      <c r="AH259" s="41"/>
      <c r="AI259" s="41"/>
      <c r="AJ259" s="41"/>
      <c r="AK259" s="41"/>
      <c r="AL259" s="33"/>
    </row>
    <row r="260" spans="2:38" x14ac:dyDescent="0.25">
      <c r="B260" s="19">
        <v>24603</v>
      </c>
      <c r="C260" s="85"/>
      <c r="D260" s="19"/>
      <c r="E260" s="19"/>
      <c r="F260" s="19"/>
      <c r="G260" s="58"/>
      <c r="H260" s="68"/>
      <c r="I260" s="86"/>
      <c r="J260" s="87"/>
      <c r="K260" s="88"/>
      <c r="L260" s="89">
        <f>SUM(L261:L263)</f>
        <v>10325</v>
      </c>
      <c r="M260" s="51"/>
      <c r="N260" s="41"/>
      <c r="O260" s="41"/>
      <c r="P260" s="41"/>
      <c r="Q260" s="41"/>
      <c r="R260" s="41"/>
      <c r="S260" s="41"/>
      <c r="T260" s="43"/>
      <c r="U260" s="41"/>
      <c r="V260" s="41"/>
      <c r="W260" s="41"/>
      <c r="X260" s="43"/>
      <c r="Y260" s="41"/>
      <c r="Z260" s="43"/>
      <c r="AA260" s="41"/>
      <c r="AB260" s="43"/>
      <c r="AC260" s="41"/>
      <c r="AD260" s="41"/>
      <c r="AE260" s="41"/>
      <c r="AF260" s="41"/>
      <c r="AG260" s="41"/>
      <c r="AH260" s="41"/>
      <c r="AI260" s="41"/>
      <c r="AJ260" s="41"/>
      <c r="AK260" s="41"/>
      <c r="AL260" s="33"/>
    </row>
    <row r="261" spans="2:38" ht="57.75" x14ac:dyDescent="0.25">
      <c r="B261" s="49">
        <v>24603</v>
      </c>
      <c r="C261" s="25" t="s">
        <v>262</v>
      </c>
      <c r="D261" s="14">
        <v>0</v>
      </c>
      <c r="E261" s="14">
        <v>24</v>
      </c>
      <c r="F261" s="14" t="s">
        <v>49</v>
      </c>
      <c r="G261" s="27" t="s">
        <v>42</v>
      </c>
      <c r="H261" s="28" t="s">
        <v>43</v>
      </c>
      <c r="I261" s="143" t="s">
        <v>44</v>
      </c>
      <c r="J261" s="144"/>
      <c r="K261" s="38">
        <v>65</v>
      </c>
      <c r="L261" s="29">
        <f t="shared" ref="L261:L263" si="110">E261*K261</f>
        <v>1560</v>
      </c>
      <c r="M261" s="51"/>
      <c r="N261" s="41"/>
      <c r="O261" s="41"/>
      <c r="P261" s="41"/>
      <c r="Q261" s="41"/>
      <c r="R261" s="41">
        <v>1</v>
      </c>
      <c r="S261" s="41">
        <f>R261*K261</f>
        <v>65</v>
      </c>
      <c r="T261" s="43"/>
      <c r="U261" s="41"/>
      <c r="V261" s="41">
        <v>1</v>
      </c>
      <c r="W261" s="41">
        <f>V261*K261</f>
        <v>65</v>
      </c>
      <c r="X261" s="43"/>
      <c r="Y261" s="41"/>
      <c r="Z261" s="43"/>
      <c r="AA261" s="41"/>
      <c r="AB261" s="43">
        <v>1</v>
      </c>
      <c r="AC261" s="41">
        <f>AB261*K261</f>
        <v>65</v>
      </c>
      <c r="AD261" s="41"/>
      <c r="AE261" s="41"/>
      <c r="AF261" s="41">
        <v>1</v>
      </c>
      <c r="AG261" s="41">
        <f>AF261*K261</f>
        <v>65</v>
      </c>
      <c r="AH261" s="41"/>
      <c r="AI261" s="41"/>
      <c r="AJ261" s="41">
        <v>1</v>
      </c>
      <c r="AK261" s="41">
        <f>AJ261*K261</f>
        <v>65</v>
      </c>
      <c r="AL261" s="33">
        <f t="shared" si="80"/>
        <v>325</v>
      </c>
    </row>
    <row r="262" spans="2:38" ht="57.75" x14ac:dyDescent="0.25">
      <c r="B262" s="49">
        <v>24603</v>
      </c>
      <c r="C262" s="25" t="s">
        <v>263</v>
      </c>
      <c r="D262" s="14">
        <v>0</v>
      </c>
      <c r="E262" s="14">
        <v>11</v>
      </c>
      <c r="F262" s="14" t="s">
        <v>49</v>
      </c>
      <c r="G262" s="27" t="s">
        <v>42</v>
      </c>
      <c r="H262" s="28" t="s">
        <v>43</v>
      </c>
      <c r="I262" s="143" t="s">
        <v>44</v>
      </c>
      <c r="J262" s="144"/>
      <c r="K262" s="38">
        <v>650</v>
      </c>
      <c r="L262" s="29">
        <f t="shared" si="110"/>
        <v>7150</v>
      </c>
      <c r="M262" s="51"/>
      <c r="N262" s="41"/>
      <c r="O262" s="41"/>
      <c r="P262" s="41"/>
      <c r="Q262" s="41"/>
      <c r="R262" s="41">
        <v>5</v>
      </c>
      <c r="S262" s="41">
        <f>R262*K262</f>
        <v>3250</v>
      </c>
      <c r="T262" s="43"/>
      <c r="U262" s="41"/>
      <c r="V262" s="41"/>
      <c r="W262" s="41"/>
      <c r="X262" s="43"/>
      <c r="Y262" s="41"/>
      <c r="Z262" s="43"/>
      <c r="AA262" s="41"/>
      <c r="AB262" s="43">
        <v>5</v>
      </c>
      <c r="AC262" s="41">
        <f>AB262*K262</f>
        <v>3250</v>
      </c>
      <c r="AD262" s="41"/>
      <c r="AE262" s="41"/>
      <c r="AF262" s="41"/>
      <c r="AG262" s="41"/>
      <c r="AH262" s="41"/>
      <c r="AI262" s="41"/>
      <c r="AJ262" s="41"/>
      <c r="AK262" s="41"/>
      <c r="AL262" s="33">
        <f t="shared" si="80"/>
        <v>6500</v>
      </c>
    </row>
    <row r="263" spans="2:38" ht="57.75" x14ac:dyDescent="0.25">
      <c r="B263" s="49">
        <v>24603</v>
      </c>
      <c r="C263" s="25" t="s">
        <v>264</v>
      </c>
      <c r="D263" s="14">
        <v>0</v>
      </c>
      <c r="E263" s="14">
        <v>19</v>
      </c>
      <c r="F263" s="14" t="s">
        <v>49</v>
      </c>
      <c r="G263" s="27" t="s">
        <v>42</v>
      </c>
      <c r="H263" s="28" t="s">
        <v>43</v>
      </c>
      <c r="I263" s="143" t="s">
        <v>44</v>
      </c>
      <c r="J263" s="144"/>
      <c r="K263" s="38">
        <v>85</v>
      </c>
      <c r="L263" s="29">
        <f t="shared" si="110"/>
        <v>1615</v>
      </c>
      <c r="M263" s="51"/>
      <c r="N263" s="41"/>
      <c r="O263" s="41"/>
      <c r="P263" s="41"/>
      <c r="Q263" s="41"/>
      <c r="R263" s="41">
        <v>4</v>
      </c>
      <c r="S263" s="41">
        <f>R263*K263</f>
        <v>340</v>
      </c>
      <c r="T263" s="43"/>
      <c r="U263" s="41"/>
      <c r="V263" s="41"/>
      <c r="W263" s="41"/>
      <c r="X263" s="43"/>
      <c r="Y263" s="41"/>
      <c r="Z263" s="43"/>
      <c r="AA263" s="41"/>
      <c r="AB263" s="43">
        <v>6</v>
      </c>
      <c r="AC263" s="41">
        <f>AB263*K263</f>
        <v>510</v>
      </c>
      <c r="AD263" s="41"/>
      <c r="AE263" s="41"/>
      <c r="AF263" s="41"/>
      <c r="AG263" s="41"/>
      <c r="AH263" s="41"/>
      <c r="AI263" s="41"/>
      <c r="AJ263" s="41"/>
      <c r="AK263" s="41"/>
      <c r="AL263" s="33">
        <f t="shared" si="80"/>
        <v>850</v>
      </c>
    </row>
    <row r="264" spans="2:38" x14ac:dyDescent="0.25">
      <c r="B264" s="19">
        <v>24700</v>
      </c>
      <c r="C264" s="19"/>
      <c r="D264" s="19"/>
      <c r="E264" s="19"/>
      <c r="F264" s="19"/>
      <c r="G264" s="58"/>
      <c r="H264" s="59"/>
      <c r="I264" s="145"/>
      <c r="J264" s="146"/>
      <c r="K264" s="20"/>
      <c r="L264" s="21">
        <f>L265+L267+L274+L282</f>
        <v>18655.005300000001</v>
      </c>
      <c r="M264" s="60">
        <f>M265+M267+M274</f>
        <v>32501</v>
      </c>
      <c r="N264" s="41"/>
      <c r="O264" s="41"/>
      <c r="P264" s="41"/>
      <c r="Q264" s="41"/>
      <c r="R264" s="41"/>
      <c r="S264" s="41"/>
      <c r="T264" s="43"/>
      <c r="U264" s="41"/>
      <c r="V264" s="41"/>
      <c r="W264" s="41"/>
      <c r="X264" s="43"/>
      <c r="Y264" s="41"/>
      <c r="Z264" s="43"/>
      <c r="AA264" s="41"/>
      <c r="AB264" s="43"/>
      <c r="AC264" s="41"/>
      <c r="AD264" s="41"/>
      <c r="AE264" s="41"/>
      <c r="AF264" s="41"/>
      <c r="AG264" s="41"/>
      <c r="AH264" s="41"/>
      <c r="AI264" s="41"/>
      <c r="AJ264" s="41"/>
      <c r="AK264" s="41"/>
      <c r="AL264" s="33"/>
    </row>
    <row r="265" spans="2:38" x14ac:dyDescent="0.25">
      <c r="B265" s="19">
        <v>24701</v>
      </c>
      <c r="C265" s="19"/>
      <c r="D265" s="19"/>
      <c r="E265" s="19"/>
      <c r="F265" s="19"/>
      <c r="G265" s="58"/>
      <c r="H265" s="59"/>
      <c r="I265" s="145"/>
      <c r="J265" s="146"/>
      <c r="K265" s="20"/>
      <c r="L265" s="21">
        <f>L266</f>
        <v>0</v>
      </c>
      <c r="M265" s="44">
        <v>25000</v>
      </c>
      <c r="N265" s="41"/>
      <c r="O265" s="41"/>
      <c r="P265" s="41"/>
      <c r="Q265" s="41"/>
      <c r="R265" s="41"/>
      <c r="S265" s="41"/>
      <c r="T265" s="43"/>
      <c r="U265" s="41"/>
      <c r="V265" s="41"/>
      <c r="W265" s="41"/>
      <c r="X265" s="43"/>
      <c r="Y265" s="41"/>
      <c r="Z265" s="43"/>
      <c r="AA265" s="41"/>
      <c r="AB265" s="43"/>
      <c r="AC265" s="41"/>
      <c r="AD265" s="41"/>
      <c r="AE265" s="41"/>
      <c r="AF265" s="41"/>
      <c r="AG265" s="41"/>
      <c r="AH265" s="41"/>
      <c r="AI265" s="41"/>
      <c r="AJ265" s="41"/>
      <c r="AK265" s="41"/>
      <c r="AL265" s="33"/>
    </row>
    <row r="266" spans="2:38" ht="57.75" x14ac:dyDescent="0.25">
      <c r="B266" s="49">
        <v>24701</v>
      </c>
      <c r="C266" s="49" t="s">
        <v>265</v>
      </c>
      <c r="D266" s="49">
        <v>0</v>
      </c>
      <c r="E266" s="49">
        <v>0</v>
      </c>
      <c r="F266" s="49" t="s">
        <v>49</v>
      </c>
      <c r="G266" s="64" t="s">
        <v>212</v>
      </c>
      <c r="H266" s="28" t="s">
        <v>43</v>
      </c>
      <c r="I266" s="143" t="s">
        <v>44</v>
      </c>
      <c r="J266" s="144"/>
      <c r="K266" s="50">
        <v>0</v>
      </c>
      <c r="L266" s="50">
        <f>E266*K266</f>
        <v>0</v>
      </c>
      <c r="M266" s="51"/>
      <c r="N266" s="41"/>
      <c r="O266" s="41"/>
      <c r="P266" s="41"/>
      <c r="Q266" s="41"/>
      <c r="R266" s="41"/>
      <c r="S266" s="41"/>
      <c r="T266" s="43">
        <v>5</v>
      </c>
      <c r="U266" s="41">
        <f>T266*K266</f>
        <v>0</v>
      </c>
      <c r="V266" s="41"/>
      <c r="W266" s="41"/>
      <c r="X266" s="43"/>
      <c r="Y266" s="41"/>
      <c r="Z266" s="43"/>
      <c r="AA266" s="41"/>
      <c r="AB266" s="43"/>
      <c r="AC266" s="41"/>
      <c r="AD266" s="41">
        <v>5</v>
      </c>
      <c r="AE266" s="41">
        <f>AD266*K266</f>
        <v>0</v>
      </c>
      <c r="AF266" s="41"/>
      <c r="AG266" s="41"/>
      <c r="AH266" s="41"/>
      <c r="AI266" s="41"/>
      <c r="AJ266" s="41"/>
      <c r="AK266" s="41"/>
      <c r="AL266" s="33">
        <f t="shared" si="80"/>
        <v>0</v>
      </c>
    </row>
    <row r="267" spans="2:38" x14ac:dyDescent="0.25">
      <c r="B267" s="19">
        <v>24702</v>
      </c>
      <c r="C267" s="19"/>
      <c r="D267" s="19"/>
      <c r="E267" s="19"/>
      <c r="F267" s="19"/>
      <c r="G267" s="58"/>
      <c r="H267" s="59"/>
      <c r="I267" s="145"/>
      <c r="J267" s="146"/>
      <c r="K267" s="20"/>
      <c r="L267" s="21">
        <f>SUM(L268:L273)</f>
        <v>12600.002500000001</v>
      </c>
      <c r="M267" s="44">
        <v>5000</v>
      </c>
      <c r="N267" s="41"/>
      <c r="O267" s="41"/>
      <c r="P267" s="41"/>
      <c r="Q267" s="41"/>
      <c r="R267" s="41"/>
      <c r="S267" s="41"/>
      <c r="T267" s="43"/>
      <c r="U267" s="41"/>
      <c r="V267" s="41"/>
      <c r="W267" s="41"/>
      <c r="X267" s="43"/>
      <c r="Y267" s="41"/>
      <c r="Z267" s="43"/>
      <c r="AA267" s="41"/>
      <c r="AB267" s="43"/>
      <c r="AC267" s="41"/>
      <c r="AD267" s="41"/>
      <c r="AE267" s="41"/>
      <c r="AF267" s="41"/>
      <c r="AG267" s="41"/>
      <c r="AH267" s="41"/>
      <c r="AI267" s="41"/>
      <c r="AJ267" s="41"/>
      <c r="AK267" s="41"/>
      <c r="AL267" s="33"/>
    </row>
    <row r="268" spans="2:38" ht="57.75" x14ac:dyDescent="0.25">
      <c r="B268" s="49">
        <v>24702</v>
      </c>
      <c r="C268" s="49" t="s">
        <v>266</v>
      </c>
      <c r="D268" s="49">
        <v>0</v>
      </c>
      <c r="E268" s="49">
        <v>200</v>
      </c>
      <c r="F268" s="49" t="s">
        <v>49</v>
      </c>
      <c r="G268" s="64" t="s">
        <v>212</v>
      </c>
      <c r="H268" s="28" t="s">
        <v>43</v>
      </c>
      <c r="I268" s="143" t="s">
        <v>44</v>
      </c>
      <c r="J268" s="144"/>
      <c r="K268" s="50">
        <v>12</v>
      </c>
      <c r="L268" s="50">
        <f t="shared" ref="L268:L273" si="111">E268*K268</f>
        <v>2400</v>
      </c>
      <c r="M268" s="51"/>
      <c r="N268" s="41">
        <f t="shared" ref="N268:N273" si="112">E268/12</f>
        <v>16.666666666666668</v>
      </c>
      <c r="O268" s="41">
        <f t="shared" ref="O268:O273" si="113">N268*K268</f>
        <v>200</v>
      </c>
      <c r="P268" s="41">
        <f t="shared" ref="P268:P273" si="114">E268/12</f>
        <v>16.666666666666668</v>
      </c>
      <c r="Q268" s="41">
        <f t="shared" ref="Q268:Q273" si="115">K268*P268</f>
        <v>200</v>
      </c>
      <c r="R268" s="41">
        <f t="shared" ref="R268:R273" si="116">E268/12</f>
        <v>16.666666666666668</v>
      </c>
      <c r="S268" s="41">
        <f t="shared" ref="S268:S273" si="117">K268*R268</f>
        <v>200</v>
      </c>
      <c r="T268" s="43">
        <f t="shared" ref="T268:T273" si="118">E268/12</f>
        <v>16.666666666666668</v>
      </c>
      <c r="U268" s="41">
        <f t="shared" ref="U268:U273" si="119">K268*T268</f>
        <v>200</v>
      </c>
      <c r="V268" s="41">
        <f t="shared" ref="V268:V273" si="120">E268/12</f>
        <v>16.666666666666668</v>
      </c>
      <c r="W268" s="41">
        <f t="shared" ref="W268:W273" si="121">K268*V268</f>
        <v>200</v>
      </c>
      <c r="X268" s="43">
        <f t="shared" ref="X268:X273" si="122">E268/12</f>
        <v>16.666666666666668</v>
      </c>
      <c r="Y268" s="41">
        <f t="shared" ref="Y268:Y273" si="123">K268*X268</f>
        <v>200</v>
      </c>
      <c r="Z268" s="43">
        <f t="shared" ref="Z268:Z273" si="124">E268/12</f>
        <v>16.666666666666668</v>
      </c>
      <c r="AA268" s="41">
        <f t="shared" ref="AA268:AA273" si="125">K268*Z268</f>
        <v>200</v>
      </c>
      <c r="AB268" s="43">
        <f t="shared" ref="AB268:AB273" si="126">E268/12</f>
        <v>16.666666666666668</v>
      </c>
      <c r="AC268" s="41">
        <f t="shared" ref="AC268:AC273" si="127">K268*AB268</f>
        <v>200</v>
      </c>
      <c r="AD268" s="41">
        <f t="shared" ref="AD268:AD273" si="128">E268/12</f>
        <v>16.666666666666668</v>
      </c>
      <c r="AE268" s="41">
        <f t="shared" ref="AE268:AE273" si="129">K268*AD268</f>
        <v>200</v>
      </c>
      <c r="AF268" s="41">
        <f t="shared" ref="AF268:AF273" si="130">E268/12</f>
        <v>16.666666666666668</v>
      </c>
      <c r="AG268" s="41">
        <f t="shared" ref="AG268:AG273" si="131">K268*AF268</f>
        <v>200</v>
      </c>
      <c r="AH268" s="41">
        <f t="shared" ref="AH268:AH273" si="132">E268/12</f>
        <v>16.666666666666668</v>
      </c>
      <c r="AI268" s="41">
        <f t="shared" ref="AI268:AI273" si="133">K268*AH268</f>
        <v>200</v>
      </c>
      <c r="AJ268" s="41">
        <f t="shared" ref="AJ268:AJ273" si="134">E268/12</f>
        <v>16.666666666666668</v>
      </c>
      <c r="AK268" s="41">
        <f t="shared" ref="AK268:AK273" si="135">K268*AJ268</f>
        <v>200</v>
      </c>
      <c r="AL268" s="33">
        <f t="shared" si="80"/>
        <v>2400</v>
      </c>
    </row>
    <row r="269" spans="2:38" ht="57.75" x14ac:dyDescent="0.25">
      <c r="B269" s="49">
        <v>24702</v>
      </c>
      <c r="C269" s="49" t="s">
        <v>267</v>
      </c>
      <c r="D269" s="49">
        <v>0</v>
      </c>
      <c r="E269" s="49">
        <v>250</v>
      </c>
      <c r="F269" s="49" t="s">
        <v>49</v>
      </c>
      <c r="G269" s="64" t="s">
        <v>212</v>
      </c>
      <c r="H269" s="28" t="s">
        <v>43</v>
      </c>
      <c r="I269" s="143" t="s">
        <v>44</v>
      </c>
      <c r="J269" s="144"/>
      <c r="K269" s="50">
        <v>4</v>
      </c>
      <c r="L269" s="50">
        <f t="shared" si="111"/>
        <v>1000</v>
      </c>
      <c r="M269" s="51"/>
      <c r="N269" s="41">
        <f t="shared" si="112"/>
        <v>20.833333333333332</v>
      </c>
      <c r="O269" s="41">
        <f t="shared" si="113"/>
        <v>83.333333333333329</v>
      </c>
      <c r="P269" s="41">
        <f t="shared" si="114"/>
        <v>20.833333333333332</v>
      </c>
      <c r="Q269" s="41">
        <f t="shared" si="115"/>
        <v>83.333333333333329</v>
      </c>
      <c r="R269" s="41">
        <f t="shared" si="116"/>
        <v>20.833333333333332</v>
      </c>
      <c r="S269" s="41">
        <f t="shared" si="117"/>
        <v>83.333333333333329</v>
      </c>
      <c r="T269" s="43">
        <f t="shared" si="118"/>
        <v>20.833333333333332</v>
      </c>
      <c r="U269" s="41">
        <f t="shared" si="119"/>
        <v>83.333333333333329</v>
      </c>
      <c r="V269" s="41">
        <f t="shared" si="120"/>
        <v>20.833333333333332</v>
      </c>
      <c r="W269" s="41">
        <f t="shared" si="121"/>
        <v>83.333333333333329</v>
      </c>
      <c r="X269" s="43">
        <f t="shared" si="122"/>
        <v>20.833333333333332</v>
      </c>
      <c r="Y269" s="41">
        <f t="shared" si="123"/>
        <v>83.333333333333329</v>
      </c>
      <c r="Z269" s="43">
        <f t="shared" si="124"/>
        <v>20.833333333333332</v>
      </c>
      <c r="AA269" s="41">
        <f t="shared" si="125"/>
        <v>83.333333333333329</v>
      </c>
      <c r="AB269" s="43">
        <f t="shared" si="126"/>
        <v>20.833333333333332</v>
      </c>
      <c r="AC269" s="41">
        <f t="shared" si="127"/>
        <v>83.333333333333329</v>
      </c>
      <c r="AD269" s="41">
        <f t="shared" si="128"/>
        <v>20.833333333333332</v>
      </c>
      <c r="AE269" s="41">
        <f t="shared" si="129"/>
        <v>83.333333333333329</v>
      </c>
      <c r="AF269" s="41">
        <f t="shared" si="130"/>
        <v>20.833333333333332</v>
      </c>
      <c r="AG269" s="41">
        <f t="shared" si="131"/>
        <v>83.333333333333329</v>
      </c>
      <c r="AH269" s="41">
        <f t="shared" si="132"/>
        <v>20.833333333333332</v>
      </c>
      <c r="AI269" s="41">
        <f t="shared" si="133"/>
        <v>83.333333333333329</v>
      </c>
      <c r="AJ269" s="41">
        <f t="shared" si="134"/>
        <v>20.833333333333332</v>
      </c>
      <c r="AK269" s="41">
        <f t="shared" si="135"/>
        <v>83.333333333333329</v>
      </c>
      <c r="AL269" s="33">
        <f t="shared" si="80"/>
        <v>1000.0000000000001</v>
      </c>
    </row>
    <row r="270" spans="2:38" ht="57.75" x14ac:dyDescent="0.25">
      <c r="B270" s="49">
        <v>24702</v>
      </c>
      <c r="C270" s="49" t="s">
        <v>268</v>
      </c>
      <c r="D270" s="49">
        <v>0</v>
      </c>
      <c r="E270" s="49">
        <v>6</v>
      </c>
      <c r="F270" s="49" t="s">
        <v>49</v>
      </c>
      <c r="G270" s="64" t="s">
        <v>212</v>
      </c>
      <c r="H270" s="28" t="s">
        <v>43</v>
      </c>
      <c r="I270" s="143" t="s">
        <v>44</v>
      </c>
      <c r="J270" s="144"/>
      <c r="K270" s="50">
        <v>650</v>
      </c>
      <c r="L270" s="50">
        <f t="shared" si="111"/>
        <v>3900</v>
      </c>
      <c r="M270" s="51"/>
      <c r="N270" s="41"/>
      <c r="O270" s="41"/>
      <c r="P270" s="41">
        <v>2</v>
      </c>
      <c r="Q270" s="41">
        <f>P270*K270</f>
        <v>1300</v>
      </c>
      <c r="R270" s="41"/>
      <c r="S270" s="41"/>
      <c r="T270" s="43"/>
      <c r="U270" s="41"/>
      <c r="V270" s="41"/>
      <c r="W270" s="41"/>
      <c r="X270" s="43">
        <v>2</v>
      </c>
      <c r="Y270" s="41">
        <f>X270*K270</f>
        <v>1300</v>
      </c>
      <c r="Z270" s="43"/>
      <c r="AA270" s="41"/>
      <c r="AB270" s="43"/>
      <c r="AC270" s="41"/>
      <c r="AD270" s="41"/>
      <c r="AE270" s="41"/>
      <c r="AF270" s="41">
        <v>2</v>
      </c>
      <c r="AG270" s="41">
        <f>AF270*K270</f>
        <v>1300</v>
      </c>
      <c r="AH270" s="41"/>
      <c r="AI270" s="41"/>
      <c r="AJ270" s="41"/>
      <c r="AK270" s="41"/>
      <c r="AL270" s="33">
        <f t="shared" si="80"/>
        <v>3900</v>
      </c>
    </row>
    <row r="271" spans="2:38" ht="57.75" x14ac:dyDescent="0.25">
      <c r="B271" s="49">
        <v>24702</v>
      </c>
      <c r="C271" s="49" t="s">
        <v>269</v>
      </c>
      <c r="D271" s="49">
        <v>0</v>
      </c>
      <c r="E271" s="49">
        <v>45</v>
      </c>
      <c r="F271" s="49" t="s">
        <v>49</v>
      </c>
      <c r="G271" s="64" t="s">
        <v>212</v>
      </c>
      <c r="H271" s="28" t="s">
        <v>43</v>
      </c>
      <c r="I271" s="143" t="s">
        <v>44</v>
      </c>
      <c r="J271" s="144"/>
      <c r="K271" s="50">
        <f>14.5+9.9445</f>
        <v>24.444499999999998</v>
      </c>
      <c r="L271" s="50">
        <f t="shared" si="111"/>
        <v>1100.0024999999998</v>
      </c>
      <c r="M271" s="51"/>
      <c r="N271" s="41">
        <f t="shared" si="112"/>
        <v>3.75</v>
      </c>
      <c r="O271" s="41">
        <f t="shared" si="113"/>
        <v>91.66687499999999</v>
      </c>
      <c r="P271" s="41">
        <f t="shared" si="114"/>
        <v>3.75</v>
      </c>
      <c r="Q271" s="41">
        <f t="shared" si="115"/>
        <v>91.66687499999999</v>
      </c>
      <c r="R271" s="41">
        <f t="shared" si="116"/>
        <v>3.75</v>
      </c>
      <c r="S271" s="41">
        <f t="shared" si="117"/>
        <v>91.66687499999999</v>
      </c>
      <c r="T271" s="43">
        <f t="shared" si="118"/>
        <v>3.75</v>
      </c>
      <c r="U271" s="41">
        <f t="shared" si="119"/>
        <v>91.66687499999999</v>
      </c>
      <c r="V271" s="41">
        <f t="shared" si="120"/>
        <v>3.75</v>
      </c>
      <c r="W271" s="41">
        <f t="shared" si="121"/>
        <v>91.66687499999999</v>
      </c>
      <c r="X271" s="43">
        <f t="shared" si="122"/>
        <v>3.75</v>
      </c>
      <c r="Y271" s="41">
        <f t="shared" si="123"/>
        <v>91.66687499999999</v>
      </c>
      <c r="Z271" s="43">
        <f t="shared" si="124"/>
        <v>3.75</v>
      </c>
      <c r="AA271" s="41">
        <f t="shared" si="125"/>
        <v>91.66687499999999</v>
      </c>
      <c r="AB271" s="43">
        <f t="shared" si="126"/>
        <v>3.75</v>
      </c>
      <c r="AC271" s="41">
        <f t="shared" si="127"/>
        <v>91.66687499999999</v>
      </c>
      <c r="AD271" s="41">
        <f t="shared" si="128"/>
        <v>3.75</v>
      </c>
      <c r="AE271" s="41">
        <f t="shared" si="129"/>
        <v>91.66687499999999</v>
      </c>
      <c r="AF271" s="41">
        <f t="shared" si="130"/>
        <v>3.75</v>
      </c>
      <c r="AG271" s="41">
        <f t="shared" si="131"/>
        <v>91.66687499999999</v>
      </c>
      <c r="AH271" s="41">
        <f t="shared" si="132"/>
        <v>3.75</v>
      </c>
      <c r="AI271" s="41">
        <f t="shared" si="133"/>
        <v>91.66687499999999</v>
      </c>
      <c r="AJ271" s="41">
        <f t="shared" si="134"/>
        <v>3.75</v>
      </c>
      <c r="AK271" s="41">
        <f t="shared" si="135"/>
        <v>91.66687499999999</v>
      </c>
      <c r="AL271" s="33">
        <f t="shared" si="80"/>
        <v>1100.0024999999998</v>
      </c>
    </row>
    <row r="272" spans="2:38" ht="57.75" x14ac:dyDescent="0.25">
      <c r="B272" s="49">
        <v>24702</v>
      </c>
      <c r="C272" s="49" t="s">
        <v>270</v>
      </c>
      <c r="D272" s="49">
        <v>0</v>
      </c>
      <c r="E272" s="49">
        <v>12</v>
      </c>
      <c r="F272" s="49" t="s">
        <v>49</v>
      </c>
      <c r="G272" s="64" t="s">
        <v>212</v>
      </c>
      <c r="H272" s="28" t="s">
        <v>43</v>
      </c>
      <c r="I272" s="143" t="s">
        <v>44</v>
      </c>
      <c r="J272" s="144"/>
      <c r="K272" s="50">
        <v>250</v>
      </c>
      <c r="L272" s="50">
        <f t="shared" si="111"/>
        <v>3000</v>
      </c>
      <c r="M272" s="51"/>
      <c r="N272" s="41"/>
      <c r="O272" s="41"/>
      <c r="P272" s="41">
        <v>3</v>
      </c>
      <c r="Q272" s="41">
        <f>P272*K272</f>
        <v>750</v>
      </c>
      <c r="R272" s="41"/>
      <c r="S272" s="41"/>
      <c r="T272" s="43"/>
      <c r="U272" s="41"/>
      <c r="V272" s="41">
        <v>3</v>
      </c>
      <c r="W272" s="41">
        <f>V272*K272</f>
        <v>750</v>
      </c>
      <c r="X272" s="43"/>
      <c r="Y272" s="41"/>
      <c r="Z272" s="43"/>
      <c r="AA272" s="41"/>
      <c r="AB272" s="43">
        <v>3</v>
      </c>
      <c r="AC272" s="41">
        <f>AB272*K272</f>
        <v>750</v>
      </c>
      <c r="AD272" s="41"/>
      <c r="AE272" s="41"/>
      <c r="AF272" s="41"/>
      <c r="AG272" s="41"/>
      <c r="AH272" s="41">
        <v>3</v>
      </c>
      <c r="AI272" s="41">
        <f>AH272*K272</f>
        <v>750</v>
      </c>
      <c r="AJ272" s="41"/>
      <c r="AK272" s="41"/>
      <c r="AL272" s="33">
        <f t="shared" si="80"/>
        <v>3000</v>
      </c>
    </row>
    <row r="273" spans="2:40" ht="57.75" x14ac:dyDescent="0.25">
      <c r="B273" s="49">
        <v>24702</v>
      </c>
      <c r="C273" s="49" t="s">
        <v>271</v>
      </c>
      <c r="D273" s="49">
        <v>0</v>
      </c>
      <c r="E273" s="49">
        <v>24</v>
      </c>
      <c r="F273" s="49" t="s">
        <v>49</v>
      </c>
      <c r="G273" s="64" t="s">
        <v>212</v>
      </c>
      <c r="H273" s="28" t="s">
        <v>43</v>
      </c>
      <c r="I273" s="143" t="s">
        <v>44</v>
      </c>
      <c r="J273" s="144"/>
      <c r="K273" s="50">
        <v>50</v>
      </c>
      <c r="L273" s="50">
        <f t="shared" si="111"/>
        <v>1200</v>
      </c>
      <c r="M273" s="51"/>
      <c r="N273" s="41">
        <f t="shared" si="112"/>
        <v>2</v>
      </c>
      <c r="O273" s="41">
        <f t="shared" si="113"/>
        <v>100</v>
      </c>
      <c r="P273" s="41">
        <f t="shared" si="114"/>
        <v>2</v>
      </c>
      <c r="Q273" s="41">
        <f t="shared" si="115"/>
        <v>100</v>
      </c>
      <c r="R273" s="41">
        <f t="shared" si="116"/>
        <v>2</v>
      </c>
      <c r="S273" s="41">
        <f t="shared" si="117"/>
        <v>100</v>
      </c>
      <c r="T273" s="43">
        <f t="shared" si="118"/>
        <v>2</v>
      </c>
      <c r="U273" s="41">
        <f t="shared" si="119"/>
        <v>100</v>
      </c>
      <c r="V273" s="41">
        <f t="shared" si="120"/>
        <v>2</v>
      </c>
      <c r="W273" s="41">
        <f t="shared" si="121"/>
        <v>100</v>
      </c>
      <c r="X273" s="43">
        <f t="shared" si="122"/>
        <v>2</v>
      </c>
      <c r="Y273" s="41">
        <f t="shared" si="123"/>
        <v>100</v>
      </c>
      <c r="Z273" s="43">
        <f t="shared" si="124"/>
        <v>2</v>
      </c>
      <c r="AA273" s="41">
        <f t="shared" si="125"/>
        <v>100</v>
      </c>
      <c r="AB273" s="43">
        <f t="shared" si="126"/>
        <v>2</v>
      </c>
      <c r="AC273" s="41">
        <f t="shared" si="127"/>
        <v>100</v>
      </c>
      <c r="AD273" s="41">
        <f t="shared" si="128"/>
        <v>2</v>
      </c>
      <c r="AE273" s="41">
        <f t="shared" si="129"/>
        <v>100</v>
      </c>
      <c r="AF273" s="41">
        <f t="shared" si="130"/>
        <v>2</v>
      </c>
      <c r="AG273" s="41">
        <f t="shared" si="131"/>
        <v>100</v>
      </c>
      <c r="AH273" s="41">
        <f t="shared" si="132"/>
        <v>2</v>
      </c>
      <c r="AI273" s="41">
        <f t="shared" si="133"/>
        <v>100</v>
      </c>
      <c r="AJ273" s="41">
        <f t="shared" si="134"/>
        <v>2</v>
      </c>
      <c r="AK273" s="41">
        <f t="shared" si="135"/>
        <v>100</v>
      </c>
      <c r="AL273" s="33">
        <f t="shared" si="80"/>
        <v>1200</v>
      </c>
    </row>
    <row r="274" spans="2:40" x14ac:dyDescent="0.25">
      <c r="B274" s="19">
        <v>24703</v>
      </c>
      <c r="C274" s="19"/>
      <c r="D274" s="19"/>
      <c r="E274" s="19"/>
      <c r="F274" s="19"/>
      <c r="G274" s="58"/>
      <c r="H274" s="68"/>
      <c r="I274" s="145"/>
      <c r="J274" s="146"/>
      <c r="K274" s="20"/>
      <c r="L274" s="21">
        <f>SUM(L275:L281)</f>
        <v>2815.2828</v>
      </c>
      <c r="M274" s="44">
        <v>2501</v>
      </c>
      <c r="N274" s="41"/>
      <c r="O274" s="41"/>
      <c r="P274" s="41"/>
      <c r="Q274" s="41"/>
      <c r="R274" s="41"/>
      <c r="S274" s="41"/>
      <c r="T274" s="43"/>
      <c r="U274" s="41"/>
      <c r="V274" s="41"/>
      <c r="W274" s="41"/>
      <c r="X274" s="43"/>
      <c r="Y274" s="41"/>
      <c r="Z274" s="43"/>
      <c r="AA274" s="41"/>
      <c r="AB274" s="43"/>
      <c r="AC274" s="41"/>
      <c r="AD274" s="41"/>
      <c r="AE274" s="41"/>
      <c r="AF274" s="41"/>
      <c r="AG274" s="41"/>
      <c r="AH274" s="41"/>
      <c r="AI274" s="41"/>
      <c r="AJ274" s="41"/>
      <c r="AK274" s="41"/>
      <c r="AL274" s="33"/>
      <c r="AN274" s="126"/>
    </row>
    <row r="275" spans="2:40" ht="57.75" x14ac:dyDescent="0.25">
      <c r="B275" s="14">
        <v>24703</v>
      </c>
      <c r="C275" s="14" t="s">
        <v>272</v>
      </c>
      <c r="D275" s="49">
        <v>0</v>
      </c>
      <c r="E275" s="14">
        <v>13</v>
      </c>
      <c r="F275" s="14" t="s">
        <v>49</v>
      </c>
      <c r="G275" s="27" t="s">
        <v>89</v>
      </c>
      <c r="H275" s="28" t="s">
        <v>43</v>
      </c>
      <c r="I275" s="143" t="s">
        <v>44</v>
      </c>
      <c r="J275" s="144"/>
      <c r="K275" s="17">
        <v>15</v>
      </c>
      <c r="L275" s="17">
        <f>E275*K275</f>
        <v>195</v>
      </c>
      <c r="M275" s="40"/>
      <c r="N275" s="41">
        <f t="shared" ref="N275" si="136">E275/12</f>
        <v>1.0833333333333333</v>
      </c>
      <c r="O275" s="41">
        <f t="shared" ref="O275" si="137">N275*K275</f>
        <v>16.25</v>
      </c>
      <c r="P275" s="41">
        <f t="shared" ref="P275" si="138">E275/12</f>
        <v>1.0833333333333333</v>
      </c>
      <c r="Q275" s="41">
        <f t="shared" ref="Q275" si="139">K275*P275</f>
        <v>16.25</v>
      </c>
      <c r="R275" s="41">
        <f t="shared" ref="R275" si="140">E275/12</f>
        <v>1.0833333333333333</v>
      </c>
      <c r="S275" s="41">
        <f t="shared" ref="S275" si="141">K275*R275</f>
        <v>16.25</v>
      </c>
      <c r="T275" s="43">
        <f t="shared" ref="T275" si="142">E275/12</f>
        <v>1.0833333333333333</v>
      </c>
      <c r="U275" s="41">
        <f t="shared" ref="U275" si="143">K275*T275</f>
        <v>16.25</v>
      </c>
      <c r="V275" s="41">
        <f t="shared" ref="V275" si="144">E275/12</f>
        <v>1.0833333333333333</v>
      </c>
      <c r="W275" s="41">
        <f t="shared" ref="W275" si="145">K275*V275</f>
        <v>16.25</v>
      </c>
      <c r="X275" s="43">
        <f t="shared" ref="X275" si="146">E275/12</f>
        <v>1.0833333333333333</v>
      </c>
      <c r="Y275" s="41">
        <f t="shared" ref="Y275" si="147">K275*X275</f>
        <v>16.25</v>
      </c>
      <c r="Z275" s="43">
        <f t="shared" ref="Z275" si="148">E275/12</f>
        <v>1.0833333333333333</v>
      </c>
      <c r="AA275" s="41">
        <f t="shared" ref="AA275" si="149">K275*Z275</f>
        <v>16.25</v>
      </c>
      <c r="AB275" s="43">
        <f t="shared" ref="AB275" si="150">E275/12</f>
        <v>1.0833333333333333</v>
      </c>
      <c r="AC275" s="41">
        <f t="shared" ref="AC275:AC281" si="151">K275*AB275</f>
        <v>16.25</v>
      </c>
      <c r="AD275" s="41">
        <f t="shared" ref="AD275" si="152">E275/12</f>
        <v>1.0833333333333333</v>
      </c>
      <c r="AE275" s="41">
        <f t="shared" ref="AE275" si="153">K275*AD275</f>
        <v>16.25</v>
      </c>
      <c r="AF275" s="41">
        <f t="shared" ref="AF275" si="154">E275/12</f>
        <v>1.0833333333333333</v>
      </c>
      <c r="AG275" s="41">
        <f t="shared" ref="AG275" si="155">K275*AF275</f>
        <v>16.25</v>
      </c>
      <c r="AH275" s="41">
        <f t="shared" ref="AH275" si="156">E275/12</f>
        <v>1.0833333333333333</v>
      </c>
      <c r="AI275" s="41">
        <f t="shared" ref="AI275" si="157">K275*AH275</f>
        <v>16.25</v>
      </c>
      <c r="AJ275" s="41">
        <f t="shared" ref="AJ275" si="158">E275/12</f>
        <v>1.0833333333333333</v>
      </c>
      <c r="AK275" s="41">
        <f t="shared" ref="AK275" si="159">K275*AJ275</f>
        <v>16.25</v>
      </c>
      <c r="AL275" s="33">
        <f t="shared" si="80"/>
        <v>195</v>
      </c>
    </row>
    <row r="276" spans="2:40" ht="57.75" x14ac:dyDescent="0.25">
      <c r="B276" s="14">
        <v>24703</v>
      </c>
      <c r="C276" s="14" t="s">
        <v>273</v>
      </c>
      <c r="D276" s="49">
        <v>0</v>
      </c>
      <c r="E276" s="14">
        <v>28</v>
      </c>
      <c r="F276" s="14" t="s">
        <v>49</v>
      </c>
      <c r="G276" s="27" t="s">
        <v>89</v>
      </c>
      <c r="H276" s="28" t="s">
        <v>43</v>
      </c>
      <c r="I276" s="143" t="s">
        <v>44</v>
      </c>
      <c r="J276" s="144"/>
      <c r="K276" s="17">
        <v>8.3666</v>
      </c>
      <c r="L276" s="17">
        <f>E276*K276</f>
        <v>234.26480000000001</v>
      </c>
      <c r="M276" s="40"/>
      <c r="N276" s="41"/>
      <c r="O276" s="41"/>
      <c r="P276" s="41"/>
      <c r="Q276" s="41"/>
      <c r="R276" s="41"/>
      <c r="S276" s="41"/>
      <c r="T276" s="43">
        <v>15</v>
      </c>
      <c r="U276" s="41">
        <f>T276*K276</f>
        <v>125.499</v>
      </c>
      <c r="V276" s="41"/>
      <c r="W276" s="41"/>
      <c r="X276" s="43"/>
      <c r="Y276" s="41"/>
      <c r="Z276" s="43"/>
      <c r="AA276" s="41"/>
      <c r="AB276" s="43">
        <v>15</v>
      </c>
      <c r="AC276" s="41">
        <f t="shared" si="151"/>
        <v>125.499</v>
      </c>
      <c r="AD276" s="41"/>
      <c r="AE276" s="41"/>
      <c r="AF276" s="41"/>
      <c r="AG276" s="41"/>
      <c r="AH276" s="41"/>
      <c r="AI276" s="41"/>
      <c r="AJ276" s="41"/>
      <c r="AK276" s="41"/>
      <c r="AL276" s="33">
        <f t="shared" si="80"/>
        <v>250.99799999999999</v>
      </c>
    </row>
    <row r="277" spans="2:40" ht="57.75" x14ac:dyDescent="0.25">
      <c r="B277" s="14">
        <v>24703</v>
      </c>
      <c r="C277" s="14" t="s">
        <v>274</v>
      </c>
      <c r="D277" s="49">
        <v>0</v>
      </c>
      <c r="E277" s="14">
        <v>10</v>
      </c>
      <c r="F277" s="14" t="s">
        <v>49</v>
      </c>
      <c r="G277" s="27" t="s">
        <v>89</v>
      </c>
      <c r="H277" s="28" t="s">
        <v>43</v>
      </c>
      <c r="I277" s="143" t="s">
        <v>44</v>
      </c>
      <c r="J277" s="144"/>
      <c r="K277" s="17">
        <v>8</v>
      </c>
      <c r="L277" s="17">
        <f t="shared" ref="L277:L280" si="160">E277*K277</f>
        <v>80</v>
      </c>
      <c r="M277" s="40"/>
      <c r="N277" s="41"/>
      <c r="O277" s="41"/>
      <c r="P277" s="41"/>
      <c r="Q277" s="41"/>
      <c r="R277" s="41"/>
      <c r="S277" s="41"/>
      <c r="T277" s="43">
        <v>3</v>
      </c>
      <c r="U277" s="41">
        <f>T277*K277</f>
        <v>24</v>
      </c>
      <c r="V277" s="41"/>
      <c r="W277" s="41"/>
      <c r="X277" s="43"/>
      <c r="Y277" s="41"/>
      <c r="Z277" s="43"/>
      <c r="AA277" s="41"/>
      <c r="AB277" s="43">
        <v>3</v>
      </c>
      <c r="AC277" s="41">
        <f>AB277*K277</f>
        <v>24</v>
      </c>
      <c r="AD277" s="41"/>
      <c r="AE277" s="41"/>
      <c r="AF277" s="41"/>
      <c r="AG277" s="41"/>
      <c r="AH277" s="41"/>
      <c r="AI277" s="41"/>
      <c r="AJ277" s="41"/>
      <c r="AK277" s="41"/>
      <c r="AL277" s="33">
        <f t="shared" si="80"/>
        <v>48</v>
      </c>
    </row>
    <row r="278" spans="2:40" ht="57.75" x14ac:dyDescent="0.25">
      <c r="B278" s="14">
        <v>24703</v>
      </c>
      <c r="C278" s="14" t="s">
        <v>275</v>
      </c>
      <c r="D278" s="49">
        <v>0</v>
      </c>
      <c r="E278" s="14">
        <v>9</v>
      </c>
      <c r="F278" s="14" t="s">
        <v>49</v>
      </c>
      <c r="G278" s="27" t="s">
        <v>89</v>
      </c>
      <c r="H278" s="28" t="s">
        <v>43</v>
      </c>
      <c r="I278" s="143" t="s">
        <v>44</v>
      </c>
      <c r="J278" s="144"/>
      <c r="K278" s="17">
        <v>20</v>
      </c>
      <c r="L278" s="17">
        <f t="shared" si="160"/>
        <v>180</v>
      </c>
      <c r="M278" s="40"/>
      <c r="N278" s="41"/>
      <c r="O278" s="41"/>
      <c r="P278" s="41"/>
      <c r="Q278" s="41"/>
      <c r="R278" s="41"/>
      <c r="S278" s="41"/>
      <c r="T278" s="43">
        <v>4</v>
      </c>
      <c r="U278" s="41">
        <f t="shared" ref="U278:U281" si="161">T278*K278</f>
        <v>80</v>
      </c>
      <c r="V278" s="41"/>
      <c r="W278" s="41"/>
      <c r="X278" s="43"/>
      <c r="Y278" s="41"/>
      <c r="Z278" s="43"/>
      <c r="AA278" s="41"/>
      <c r="AB278" s="43">
        <v>2</v>
      </c>
      <c r="AC278" s="41">
        <f>AB278*K278</f>
        <v>40</v>
      </c>
      <c r="AD278" s="41"/>
      <c r="AE278" s="41"/>
      <c r="AF278" s="41"/>
      <c r="AG278" s="41"/>
      <c r="AH278" s="41"/>
      <c r="AI278" s="41"/>
      <c r="AJ278" s="41"/>
      <c r="AK278" s="41"/>
      <c r="AL278" s="33">
        <f t="shared" si="80"/>
        <v>120</v>
      </c>
    </row>
    <row r="279" spans="2:40" ht="57.75" x14ac:dyDescent="0.25">
      <c r="B279" s="14">
        <v>24703</v>
      </c>
      <c r="C279" s="14" t="s">
        <v>273</v>
      </c>
      <c r="D279" s="49">
        <v>0</v>
      </c>
      <c r="E279" s="14">
        <v>30</v>
      </c>
      <c r="F279" s="14" t="s">
        <v>49</v>
      </c>
      <c r="G279" s="27" t="s">
        <v>89</v>
      </c>
      <c r="H279" s="28" t="s">
        <v>43</v>
      </c>
      <c r="I279" s="143" t="s">
        <v>44</v>
      </c>
      <c r="J279" s="144"/>
      <c r="K279" s="17">
        <v>8.3666</v>
      </c>
      <c r="L279" s="17">
        <f t="shared" si="160"/>
        <v>250.99799999999999</v>
      </c>
      <c r="M279" s="40"/>
      <c r="N279" s="41"/>
      <c r="O279" s="41"/>
      <c r="P279" s="41"/>
      <c r="Q279" s="41"/>
      <c r="R279" s="41"/>
      <c r="S279" s="41"/>
      <c r="T279" s="43">
        <v>15</v>
      </c>
      <c r="U279" s="41">
        <f t="shared" si="161"/>
        <v>125.499</v>
      </c>
      <c r="V279" s="41"/>
      <c r="W279" s="41"/>
      <c r="X279" s="43"/>
      <c r="Y279" s="41"/>
      <c r="Z279" s="43"/>
      <c r="AA279" s="41"/>
      <c r="AB279" s="43">
        <v>15</v>
      </c>
      <c r="AC279" s="41">
        <f>AB279*K279</f>
        <v>125.499</v>
      </c>
      <c r="AD279" s="41"/>
      <c r="AE279" s="41"/>
      <c r="AF279" s="41"/>
      <c r="AG279" s="41"/>
      <c r="AH279" s="41"/>
      <c r="AI279" s="41"/>
      <c r="AJ279" s="41"/>
      <c r="AK279" s="41"/>
      <c r="AL279" s="33">
        <f t="shared" si="80"/>
        <v>250.99799999999999</v>
      </c>
    </row>
    <row r="280" spans="2:40" ht="57.75" x14ac:dyDescent="0.25">
      <c r="B280" s="14">
        <v>24703</v>
      </c>
      <c r="C280" s="26" t="s">
        <v>276</v>
      </c>
      <c r="D280" s="26">
        <v>0</v>
      </c>
      <c r="E280" s="26">
        <v>1</v>
      </c>
      <c r="F280" s="14" t="s">
        <v>49</v>
      </c>
      <c r="G280" s="27" t="s">
        <v>89</v>
      </c>
      <c r="H280" s="28" t="s">
        <v>43</v>
      </c>
      <c r="I280" s="143" t="s">
        <v>44</v>
      </c>
      <c r="J280" s="144"/>
      <c r="K280" s="17">
        <v>875.02</v>
      </c>
      <c r="L280" s="17">
        <f t="shared" si="160"/>
        <v>875.02</v>
      </c>
      <c r="M280" s="40"/>
      <c r="N280" s="41"/>
      <c r="O280" s="41"/>
      <c r="P280" s="41"/>
      <c r="Q280" s="41"/>
      <c r="R280" s="41"/>
      <c r="S280" s="41"/>
      <c r="T280" s="43">
        <v>3</v>
      </c>
      <c r="U280" s="41">
        <f t="shared" si="161"/>
        <v>2625.06</v>
      </c>
      <c r="V280" s="41"/>
      <c r="W280" s="41"/>
      <c r="X280" s="43"/>
      <c r="Y280" s="41"/>
      <c r="Z280" s="43"/>
      <c r="AA280" s="41"/>
      <c r="AB280" s="43">
        <v>3</v>
      </c>
      <c r="AC280" s="41">
        <f>AB280*K280</f>
        <v>2625.06</v>
      </c>
      <c r="AD280" s="41"/>
      <c r="AE280" s="41"/>
      <c r="AF280" s="41"/>
      <c r="AG280" s="41"/>
      <c r="AH280" s="41"/>
      <c r="AI280" s="41"/>
      <c r="AJ280" s="41"/>
      <c r="AK280" s="41"/>
      <c r="AL280" s="33">
        <f t="shared" si="80"/>
        <v>5250.12</v>
      </c>
    </row>
    <row r="281" spans="2:40" ht="57.75" x14ac:dyDescent="0.25">
      <c r="B281" s="49">
        <v>24703</v>
      </c>
      <c r="C281" s="49" t="s">
        <v>277</v>
      </c>
      <c r="D281" s="49">
        <v>0</v>
      </c>
      <c r="E281" s="49">
        <v>2</v>
      </c>
      <c r="F281" s="49" t="s">
        <v>49</v>
      </c>
      <c r="G281" s="64" t="s">
        <v>89</v>
      </c>
      <c r="H281" s="28" t="s">
        <v>43</v>
      </c>
      <c r="I281" s="143" t="s">
        <v>44</v>
      </c>
      <c r="J281" s="144"/>
      <c r="K281" s="50">
        <v>500</v>
      </c>
      <c r="L281" s="50">
        <f>E281*K281</f>
        <v>1000</v>
      </c>
      <c r="M281" s="51"/>
      <c r="N281" s="41"/>
      <c r="O281" s="41"/>
      <c r="P281" s="41"/>
      <c r="Q281" s="41"/>
      <c r="R281" s="41"/>
      <c r="S281" s="41"/>
      <c r="T281" s="43">
        <v>3</v>
      </c>
      <c r="U281" s="41">
        <f t="shared" si="161"/>
        <v>1500</v>
      </c>
      <c r="V281" s="41"/>
      <c r="W281" s="41"/>
      <c r="X281" s="43"/>
      <c r="Y281" s="41"/>
      <c r="Z281" s="43"/>
      <c r="AA281" s="41"/>
      <c r="AB281" s="43">
        <v>3</v>
      </c>
      <c r="AC281" s="41">
        <f t="shared" si="151"/>
        <v>1500</v>
      </c>
      <c r="AD281" s="41"/>
      <c r="AE281" s="41"/>
      <c r="AF281" s="41"/>
      <c r="AG281" s="41"/>
      <c r="AH281" s="41"/>
      <c r="AI281" s="41"/>
      <c r="AJ281" s="41"/>
      <c r="AK281" s="41"/>
      <c r="AL281" s="33">
        <f t="shared" si="80"/>
        <v>3000</v>
      </c>
    </row>
    <row r="282" spans="2:40" x14ac:dyDescent="0.25">
      <c r="B282" s="19">
        <v>24704</v>
      </c>
      <c r="C282" s="67"/>
      <c r="D282" s="19"/>
      <c r="E282" s="19"/>
      <c r="F282" s="19"/>
      <c r="G282" s="19"/>
      <c r="H282" s="19"/>
      <c r="I282" s="147"/>
      <c r="J282" s="148"/>
      <c r="K282" s="88" t="s">
        <v>278</v>
      </c>
      <c r="L282" s="89">
        <f>SUM(L283)</f>
        <v>3239.72</v>
      </c>
      <c r="M282" s="51"/>
      <c r="N282" s="41"/>
      <c r="O282" s="41"/>
      <c r="P282" s="41"/>
      <c r="Q282" s="41"/>
      <c r="R282" s="41"/>
      <c r="S282" s="41"/>
      <c r="T282" s="43"/>
      <c r="U282" s="41"/>
      <c r="V282" s="41"/>
      <c r="W282" s="41"/>
      <c r="X282" s="43"/>
      <c r="Y282" s="41"/>
      <c r="Z282" s="43"/>
      <c r="AA282" s="41"/>
      <c r="AB282" s="43"/>
      <c r="AC282" s="41"/>
      <c r="AD282" s="41"/>
      <c r="AE282" s="41"/>
      <c r="AF282" s="41"/>
      <c r="AG282" s="41"/>
      <c r="AH282" s="41"/>
      <c r="AI282" s="41"/>
      <c r="AJ282" s="41"/>
      <c r="AK282" s="41"/>
      <c r="AL282" s="33"/>
    </row>
    <row r="283" spans="2:40" ht="42.75" customHeight="1" x14ac:dyDescent="0.25">
      <c r="B283" s="49">
        <v>24704</v>
      </c>
      <c r="C283" s="37" t="s">
        <v>279</v>
      </c>
      <c r="D283" s="49">
        <v>0</v>
      </c>
      <c r="E283" s="49">
        <v>1</v>
      </c>
      <c r="F283" s="49" t="s">
        <v>226</v>
      </c>
      <c r="G283" s="14" t="s">
        <v>232</v>
      </c>
      <c r="H283" s="49"/>
      <c r="I283" s="155" t="s">
        <v>44</v>
      </c>
      <c r="J283" s="156"/>
      <c r="K283" s="65">
        <v>3239.72</v>
      </c>
      <c r="L283" s="50">
        <f>E283*K283</f>
        <v>3239.72</v>
      </c>
      <c r="M283" s="51"/>
      <c r="N283" s="41"/>
      <c r="O283" s="41"/>
      <c r="P283" s="41"/>
      <c r="Q283" s="41"/>
      <c r="R283" s="41"/>
      <c r="S283" s="41"/>
      <c r="T283" s="43">
        <v>1</v>
      </c>
      <c r="U283" s="41">
        <f>T283*K283</f>
        <v>3239.72</v>
      </c>
      <c r="V283" s="41"/>
      <c r="W283" s="41"/>
      <c r="X283" s="43"/>
      <c r="Y283" s="41"/>
      <c r="Z283" s="43"/>
      <c r="AA283" s="41"/>
      <c r="AB283" s="43"/>
      <c r="AC283" s="41"/>
      <c r="AD283" s="41"/>
      <c r="AE283" s="41"/>
      <c r="AF283" s="41"/>
      <c r="AG283" s="41"/>
      <c r="AH283" s="41"/>
      <c r="AI283" s="41"/>
      <c r="AJ283" s="41"/>
      <c r="AK283" s="41"/>
      <c r="AL283" s="33">
        <f t="shared" si="80"/>
        <v>3239.72</v>
      </c>
    </row>
    <row r="284" spans="2:40" x14ac:dyDescent="0.25">
      <c r="B284" s="19">
        <v>24800</v>
      </c>
      <c r="C284" s="19"/>
      <c r="D284" s="19"/>
      <c r="E284" s="19"/>
      <c r="F284" s="19"/>
      <c r="G284" s="58"/>
      <c r="H284" s="59"/>
      <c r="I284" s="145"/>
      <c r="J284" s="146"/>
      <c r="K284" s="20"/>
      <c r="L284" s="21">
        <f>L285+L287+L292+L294</f>
        <v>22298.33</v>
      </c>
      <c r="M284" s="60">
        <f>+M287+M294</f>
        <v>10505</v>
      </c>
      <c r="N284" s="41"/>
      <c r="O284" s="41"/>
      <c r="P284" s="41"/>
      <c r="Q284" s="41"/>
      <c r="R284" s="41"/>
      <c r="S284" s="41"/>
      <c r="T284" s="43"/>
      <c r="U284" s="41"/>
      <c r="V284" s="41"/>
      <c r="W284" s="41"/>
      <c r="X284" s="43"/>
      <c r="Y284" s="41"/>
      <c r="Z284" s="43"/>
      <c r="AA284" s="41"/>
      <c r="AB284" s="43"/>
      <c r="AC284" s="41"/>
      <c r="AD284" s="41"/>
      <c r="AE284" s="41"/>
      <c r="AF284" s="41"/>
      <c r="AG284" s="41"/>
      <c r="AH284" s="41"/>
      <c r="AI284" s="41"/>
      <c r="AJ284" s="41"/>
      <c r="AK284" s="41"/>
      <c r="AL284" s="33"/>
    </row>
    <row r="285" spans="2:40" x14ac:dyDescent="0.25">
      <c r="B285" s="19">
        <v>24801</v>
      </c>
      <c r="C285" s="19"/>
      <c r="D285" s="19"/>
      <c r="E285" s="19"/>
      <c r="F285" s="19"/>
      <c r="G285" s="58"/>
      <c r="H285" s="59"/>
      <c r="I285" s="86"/>
      <c r="J285" s="90"/>
      <c r="K285" s="20"/>
      <c r="L285" s="21">
        <f>SUM(L286)</f>
        <v>6961</v>
      </c>
      <c r="M285" s="44"/>
      <c r="N285" s="41"/>
      <c r="O285" s="41"/>
      <c r="P285" s="41"/>
      <c r="Q285" s="41"/>
      <c r="R285" s="41"/>
      <c r="S285" s="41"/>
      <c r="T285" s="43"/>
      <c r="U285" s="41"/>
      <c r="V285" s="41"/>
      <c r="W285" s="41"/>
      <c r="X285" s="43"/>
      <c r="Y285" s="41"/>
      <c r="Z285" s="43"/>
      <c r="AA285" s="41"/>
      <c r="AB285" s="43"/>
      <c r="AC285" s="41"/>
      <c r="AD285" s="41"/>
      <c r="AE285" s="41"/>
      <c r="AF285" s="41"/>
      <c r="AG285" s="41"/>
      <c r="AH285" s="41"/>
      <c r="AI285" s="41"/>
      <c r="AJ285" s="41"/>
      <c r="AK285" s="41"/>
      <c r="AL285" s="33"/>
    </row>
    <row r="286" spans="2:40" ht="57.75" x14ac:dyDescent="0.25">
      <c r="B286" s="49">
        <v>24801</v>
      </c>
      <c r="C286" s="26" t="s">
        <v>280</v>
      </c>
      <c r="D286" s="26">
        <v>0</v>
      </c>
      <c r="E286" s="26">
        <v>1</v>
      </c>
      <c r="F286" s="49" t="s">
        <v>546</v>
      </c>
      <c r="G286" s="14" t="s">
        <v>89</v>
      </c>
      <c r="H286" s="28" t="s">
        <v>43</v>
      </c>
      <c r="I286" s="155" t="s">
        <v>44</v>
      </c>
      <c r="J286" s="156"/>
      <c r="K286" s="65">
        <v>6961</v>
      </c>
      <c r="L286" s="50">
        <f>E286*K286</f>
        <v>6961</v>
      </c>
      <c r="M286" s="44"/>
      <c r="N286" s="41"/>
      <c r="O286" s="41"/>
      <c r="P286" s="41"/>
      <c r="Q286" s="41"/>
      <c r="R286" s="41">
        <v>5</v>
      </c>
      <c r="S286" s="41">
        <f>R286*K286</f>
        <v>34805</v>
      </c>
      <c r="T286" s="43"/>
      <c r="U286" s="41"/>
      <c r="V286" s="41"/>
      <c r="W286" s="41"/>
      <c r="X286" s="43"/>
      <c r="Y286" s="41"/>
      <c r="Z286" s="43"/>
      <c r="AA286" s="41"/>
      <c r="AB286" s="43"/>
      <c r="AC286" s="41"/>
      <c r="AD286" s="41"/>
      <c r="AE286" s="41"/>
      <c r="AF286" s="41"/>
      <c r="AG286" s="41"/>
      <c r="AH286" s="41"/>
      <c r="AI286" s="41"/>
      <c r="AJ286" s="41"/>
      <c r="AK286" s="41"/>
      <c r="AL286" s="33">
        <f t="shared" ref="AL286:AL365" si="162">O286+Q286+S286+U286+W286+Y286+AA286+AC286+AE286+AG286+AI286+AK286</f>
        <v>34805</v>
      </c>
    </row>
    <row r="287" spans="2:40" x14ac:dyDescent="0.25">
      <c r="B287" s="19">
        <v>24803</v>
      </c>
      <c r="C287" s="19"/>
      <c r="D287" s="19"/>
      <c r="E287" s="19"/>
      <c r="F287" s="19"/>
      <c r="G287" s="58"/>
      <c r="H287" s="68"/>
      <c r="I287" s="145"/>
      <c r="J287" s="146"/>
      <c r="K287" s="20"/>
      <c r="L287" s="21">
        <f>SUM(L288:L291)</f>
        <v>4337.33</v>
      </c>
      <c r="M287" s="44">
        <v>5503</v>
      </c>
      <c r="N287" s="41"/>
      <c r="O287" s="41"/>
      <c r="P287" s="41"/>
      <c r="Q287" s="41"/>
      <c r="R287" s="41"/>
      <c r="S287" s="41"/>
      <c r="T287" s="43"/>
      <c r="U287" s="41"/>
      <c r="V287" s="41"/>
      <c r="W287" s="41"/>
      <c r="X287" s="43"/>
      <c r="Y287" s="41"/>
      <c r="Z287" s="43"/>
      <c r="AA287" s="41"/>
      <c r="AB287" s="43"/>
      <c r="AC287" s="41"/>
      <c r="AD287" s="41"/>
      <c r="AE287" s="41"/>
      <c r="AF287" s="41"/>
      <c r="AG287" s="41"/>
      <c r="AH287" s="41"/>
      <c r="AI287" s="41"/>
      <c r="AJ287" s="41"/>
      <c r="AK287" s="41"/>
      <c r="AL287" s="33"/>
    </row>
    <row r="288" spans="2:40" ht="57.75" x14ac:dyDescent="0.25">
      <c r="B288" s="26">
        <v>24802</v>
      </c>
      <c r="C288" s="26" t="s">
        <v>281</v>
      </c>
      <c r="D288" s="26">
        <v>0</v>
      </c>
      <c r="E288" s="26">
        <v>1</v>
      </c>
      <c r="F288" s="14" t="s">
        <v>49</v>
      </c>
      <c r="G288" s="27" t="s">
        <v>282</v>
      </c>
      <c r="H288" s="28" t="s">
        <v>43</v>
      </c>
      <c r="I288" s="143" t="s">
        <v>44</v>
      </c>
      <c r="J288" s="144"/>
      <c r="K288" s="81">
        <v>1691</v>
      </c>
      <c r="L288" s="17">
        <f>E288*K288</f>
        <v>1691</v>
      </c>
      <c r="M288" s="44"/>
      <c r="N288" s="41"/>
      <c r="O288" s="41"/>
      <c r="P288" s="41"/>
      <c r="Q288" s="41"/>
      <c r="R288" s="41"/>
      <c r="S288" s="41"/>
      <c r="T288" s="43"/>
      <c r="U288" s="41"/>
      <c r="V288" s="41"/>
      <c r="W288" s="41"/>
      <c r="X288" s="43"/>
      <c r="Y288" s="41"/>
      <c r="Z288" s="43"/>
      <c r="AA288" s="41"/>
      <c r="AB288" s="43"/>
      <c r="AC288" s="41"/>
      <c r="AD288" s="41"/>
      <c r="AE288" s="41"/>
      <c r="AF288" s="41"/>
      <c r="AG288" s="41"/>
      <c r="AH288" s="41"/>
      <c r="AI288" s="41"/>
      <c r="AJ288" s="41"/>
      <c r="AK288" s="41"/>
      <c r="AL288" s="33"/>
    </row>
    <row r="289" spans="2:38" ht="57.75" x14ac:dyDescent="0.25">
      <c r="B289" s="14">
        <v>24803</v>
      </c>
      <c r="C289" s="14" t="s">
        <v>283</v>
      </c>
      <c r="D289" s="49">
        <v>0</v>
      </c>
      <c r="E289" s="14">
        <v>1</v>
      </c>
      <c r="F289" s="14" t="s">
        <v>49</v>
      </c>
      <c r="G289" s="27" t="s">
        <v>282</v>
      </c>
      <c r="H289" s="28" t="s">
        <v>43</v>
      </c>
      <c r="I289" s="143" t="s">
        <v>44</v>
      </c>
      <c r="J289" s="144"/>
      <c r="K289" s="17">
        <v>1335.33</v>
      </c>
      <c r="L289" s="17">
        <f>E289*K289</f>
        <v>1335.33</v>
      </c>
      <c r="M289" s="40"/>
      <c r="N289" s="41"/>
      <c r="O289" s="41"/>
      <c r="P289" s="41"/>
      <c r="Q289" s="41"/>
      <c r="R289" s="41"/>
      <c r="S289" s="41"/>
      <c r="T289" s="43"/>
      <c r="U289" s="41"/>
      <c r="V289" s="41">
        <v>2</v>
      </c>
      <c r="W289" s="41">
        <f>V289*K289</f>
        <v>2670.66</v>
      </c>
      <c r="X289" s="43"/>
      <c r="Y289" s="41"/>
      <c r="Z289" s="43"/>
      <c r="AA289" s="41"/>
      <c r="AB289" s="43"/>
      <c r="AC289" s="41"/>
      <c r="AD289" s="41"/>
      <c r="AE289" s="41"/>
      <c r="AF289" s="41"/>
      <c r="AG289" s="41"/>
      <c r="AH289" s="41"/>
      <c r="AI289" s="41"/>
      <c r="AJ289" s="41"/>
      <c r="AK289" s="41"/>
      <c r="AL289" s="33">
        <f t="shared" si="162"/>
        <v>2670.66</v>
      </c>
    </row>
    <row r="290" spans="2:38" ht="57.75" x14ac:dyDescent="0.25">
      <c r="B290" s="14">
        <v>24804</v>
      </c>
      <c r="C290" s="14" t="s">
        <v>548</v>
      </c>
      <c r="D290" s="49">
        <v>0</v>
      </c>
      <c r="E290" s="14">
        <v>1</v>
      </c>
      <c r="F290" s="14" t="s">
        <v>49</v>
      </c>
      <c r="G290" s="27" t="s">
        <v>282</v>
      </c>
      <c r="H290" s="28" t="s">
        <v>43</v>
      </c>
      <c r="I290" s="143" t="s">
        <v>44</v>
      </c>
      <c r="J290" s="144"/>
      <c r="K290" s="17">
        <v>1310</v>
      </c>
      <c r="L290" s="17">
        <f>E290*K290</f>
        <v>1310</v>
      </c>
      <c r="M290" s="40"/>
      <c r="N290" s="41"/>
      <c r="O290" s="41"/>
      <c r="P290" s="41"/>
      <c r="Q290" s="41"/>
      <c r="R290" s="41"/>
      <c r="S290" s="41"/>
      <c r="T290" s="43"/>
      <c r="U290" s="41"/>
      <c r="V290" s="41">
        <v>5</v>
      </c>
      <c r="W290" s="41">
        <f>V290*K290</f>
        <v>6550</v>
      </c>
      <c r="X290" s="43"/>
      <c r="Y290" s="41"/>
      <c r="Z290" s="43"/>
      <c r="AA290" s="41"/>
      <c r="AB290" s="43"/>
      <c r="AC290" s="41"/>
      <c r="AD290" s="41"/>
      <c r="AE290" s="41"/>
      <c r="AF290" s="41"/>
      <c r="AG290" s="41"/>
      <c r="AH290" s="41"/>
      <c r="AI290" s="41"/>
      <c r="AJ290" s="41"/>
      <c r="AK290" s="41"/>
      <c r="AL290" s="33">
        <f t="shared" si="162"/>
        <v>6550</v>
      </c>
    </row>
    <row r="291" spans="2:38" ht="57.75" x14ac:dyDescent="0.25">
      <c r="B291" s="14">
        <v>24805</v>
      </c>
      <c r="C291" s="14" t="s">
        <v>549</v>
      </c>
      <c r="D291" s="49">
        <v>0</v>
      </c>
      <c r="E291" s="14">
        <v>1</v>
      </c>
      <c r="F291" s="14" t="s">
        <v>49</v>
      </c>
      <c r="G291" s="27" t="s">
        <v>282</v>
      </c>
      <c r="H291" s="28" t="s">
        <v>43</v>
      </c>
      <c r="I291" s="143" t="s">
        <v>44</v>
      </c>
      <c r="J291" s="144"/>
      <c r="K291" s="17">
        <v>1</v>
      </c>
      <c r="L291" s="17">
        <f>E291*K291</f>
        <v>1</v>
      </c>
      <c r="M291" s="40"/>
      <c r="N291" s="41"/>
      <c r="O291" s="41"/>
      <c r="P291" s="41"/>
      <c r="Q291" s="41"/>
      <c r="R291" s="41"/>
      <c r="S291" s="41"/>
      <c r="T291" s="43"/>
      <c r="U291" s="41"/>
      <c r="V291" s="41">
        <v>5</v>
      </c>
      <c r="W291" s="41">
        <f>V291*K291</f>
        <v>5</v>
      </c>
      <c r="X291" s="43"/>
      <c r="Y291" s="41"/>
      <c r="Z291" s="43"/>
      <c r="AA291" s="41"/>
      <c r="AB291" s="43"/>
      <c r="AC291" s="41"/>
      <c r="AD291" s="41"/>
      <c r="AE291" s="41"/>
      <c r="AF291" s="41"/>
      <c r="AG291" s="41"/>
      <c r="AH291" s="41"/>
      <c r="AI291" s="41"/>
      <c r="AJ291" s="41"/>
      <c r="AK291" s="41"/>
      <c r="AL291" s="33">
        <f t="shared" ref="AL291" si="163">O291+Q291+S291+U291+W291+Y291+AA291+AC291+AE291+AG291+AI291+AK291</f>
        <v>5</v>
      </c>
    </row>
    <row r="292" spans="2:38" x14ac:dyDescent="0.25">
      <c r="B292" s="19">
        <v>24806</v>
      </c>
      <c r="C292" s="19"/>
      <c r="D292" s="19"/>
      <c r="E292" s="19"/>
      <c r="F292" s="19"/>
      <c r="G292" s="58"/>
      <c r="H292" s="59"/>
      <c r="I292" s="145"/>
      <c r="J292" s="146"/>
      <c r="K292" s="20"/>
      <c r="L292" s="21">
        <f>SUM(L293)</f>
        <v>3000</v>
      </c>
      <c r="M292" s="40"/>
      <c r="N292" s="41"/>
      <c r="O292" s="41"/>
      <c r="P292" s="41"/>
      <c r="Q292" s="41"/>
      <c r="R292" s="41"/>
      <c r="S292" s="41"/>
      <c r="T292" s="43"/>
      <c r="U292" s="41"/>
      <c r="V292" s="41"/>
      <c r="W292" s="41"/>
      <c r="X292" s="43"/>
      <c r="Y292" s="41"/>
      <c r="Z292" s="43"/>
      <c r="AA292" s="41"/>
      <c r="AB292" s="43"/>
      <c r="AC292" s="41"/>
      <c r="AD292" s="41"/>
      <c r="AE292" s="41"/>
      <c r="AF292" s="41"/>
      <c r="AG292" s="41"/>
      <c r="AH292" s="41"/>
      <c r="AI292" s="41"/>
      <c r="AJ292" s="41"/>
      <c r="AK292" s="41"/>
      <c r="AL292" s="33"/>
    </row>
    <row r="293" spans="2:38" ht="57.75" x14ac:dyDescent="0.25">
      <c r="B293" s="49">
        <v>24806</v>
      </c>
      <c r="C293" s="49" t="s">
        <v>284</v>
      </c>
      <c r="D293" s="49">
        <v>0</v>
      </c>
      <c r="E293" s="49">
        <v>1</v>
      </c>
      <c r="F293" s="49" t="s">
        <v>226</v>
      </c>
      <c r="G293" s="14" t="s">
        <v>89</v>
      </c>
      <c r="H293" s="28" t="s">
        <v>43</v>
      </c>
      <c r="I293" s="155" t="s">
        <v>44</v>
      </c>
      <c r="J293" s="156"/>
      <c r="K293" s="65">
        <v>3000</v>
      </c>
      <c r="L293" s="50">
        <f>E293*K293</f>
        <v>3000</v>
      </c>
      <c r="M293" s="40"/>
      <c r="N293" s="41"/>
      <c r="O293" s="41"/>
      <c r="P293" s="41"/>
      <c r="Q293" s="41"/>
      <c r="R293" s="41"/>
      <c r="S293" s="41"/>
      <c r="T293" s="43"/>
      <c r="U293" s="41"/>
      <c r="V293" s="41">
        <v>1</v>
      </c>
      <c r="W293" s="41">
        <f>V293*K293</f>
        <v>3000</v>
      </c>
      <c r="X293" s="43"/>
      <c r="Y293" s="41"/>
      <c r="Z293" s="43"/>
      <c r="AA293" s="41"/>
      <c r="AB293" s="43"/>
      <c r="AC293" s="41"/>
      <c r="AD293" s="41"/>
      <c r="AE293" s="41"/>
      <c r="AF293" s="41"/>
      <c r="AG293" s="41"/>
      <c r="AH293" s="41"/>
      <c r="AI293" s="41"/>
      <c r="AJ293" s="41"/>
      <c r="AK293" s="41"/>
      <c r="AL293" s="33">
        <f t="shared" si="162"/>
        <v>3000</v>
      </c>
    </row>
    <row r="294" spans="2:38" x14ac:dyDescent="0.25">
      <c r="B294" s="19">
        <v>24807</v>
      </c>
      <c r="C294" s="19"/>
      <c r="D294" s="19"/>
      <c r="E294" s="19"/>
      <c r="F294" s="19"/>
      <c r="G294" s="58"/>
      <c r="H294" s="68"/>
      <c r="I294" s="145"/>
      <c r="J294" s="146"/>
      <c r="K294" s="20"/>
      <c r="L294" s="21">
        <f>SUM(L295:L302)</f>
        <v>8000</v>
      </c>
      <c r="M294" s="44">
        <v>5002</v>
      </c>
      <c r="N294" s="41"/>
      <c r="O294" s="41"/>
      <c r="P294" s="41"/>
      <c r="Q294" s="41"/>
      <c r="R294" s="41"/>
      <c r="S294" s="41"/>
      <c r="T294" s="43"/>
      <c r="U294" s="41"/>
      <c r="V294" s="41"/>
      <c r="W294" s="41"/>
      <c r="X294" s="43"/>
      <c r="Y294" s="41"/>
      <c r="Z294" s="43"/>
      <c r="AA294" s="41"/>
      <c r="AB294" s="43"/>
      <c r="AC294" s="41"/>
      <c r="AD294" s="41"/>
      <c r="AE294" s="41"/>
      <c r="AF294" s="41"/>
      <c r="AG294" s="41"/>
      <c r="AH294" s="41"/>
      <c r="AI294" s="41"/>
      <c r="AJ294" s="41"/>
      <c r="AK294" s="41"/>
      <c r="AL294" s="33"/>
    </row>
    <row r="295" spans="2:38" ht="57.75" x14ac:dyDescent="0.25">
      <c r="B295" s="49">
        <v>24807</v>
      </c>
      <c r="C295" s="49" t="s">
        <v>285</v>
      </c>
      <c r="D295" s="49">
        <v>0</v>
      </c>
      <c r="E295" s="49">
        <v>8</v>
      </c>
      <c r="F295" s="49" t="s">
        <v>49</v>
      </c>
      <c r="G295" s="64" t="s">
        <v>282</v>
      </c>
      <c r="H295" s="28" t="s">
        <v>43</v>
      </c>
      <c r="I295" s="143" t="s">
        <v>44</v>
      </c>
      <c r="J295" s="144"/>
      <c r="K295" s="50">
        <v>120</v>
      </c>
      <c r="L295" s="50">
        <f t="shared" ref="L295:L302" si="164">E295*K295</f>
        <v>960</v>
      </c>
      <c r="M295" s="51"/>
      <c r="N295" s="41"/>
      <c r="O295" s="41"/>
      <c r="P295" s="41"/>
      <c r="Q295" s="41"/>
      <c r="R295" s="41">
        <v>4</v>
      </c>
      <c r="S295" s="41">
        <f t="shared" ref="S295:S302" si="165">K295*R295</f>
        <v>480</v>
      </c>
      <c r="T295" s="43">
        <f t="shared" ref="T295:T298" si="166">E295/12</f>
        <v>0.66666666666666663</v>
      </c>
      <c r="U295" s="41">
        <f t="shared" ref="U295:U298" si="167">K295*T295</f>
        <v>80</v>
      </c>
      <c r="V295" s="41">
        <f t="shared" ref="V295:V298" si="168">E295/12</f>
        <v>0.66666666666666663</v>
      </c>
      <c r="W295" s="41">
        <f t="shared" ref="W295:W298" si="169">K295*V295</f>
        <v>80</v>
      </c>
      <c r="X295" s="43">
        <f t="shared" ref="X295:X298" si="170">E295/12</f>
        <v>0.66666666666666663</v>
      </c>
      <c r="Y295" s="41">
        <f t="shared" ref="Y295:Y302" si="171">K295*X295</f>
        <v>80</v>
      </c>
      <c r="Z295" s="43">
        <f t="shared" ref="Z295:Z298" si="172">E295/12</f>
        <v>0.66666666666666663</v>
      </c>
      <c r="AA295" s="41">
        <f t="shared" ref="AA295:AA298" si="173">K295*Z295</f>
        <v>80</v>
      </c>
      <c r="AB295" s="43">
        <f t="shared" ref="AB295:AB298" si="174">E295/12</f>
        <v>0.66666666666666663</v>
      </c>
      <c r="AC295" s="41">
        <f t="shared" ref="AC295:AC298" si="175">K295*AB295</f>
        <v>80</v>
      </c>
      <c r="AD295" s="41">
        <f t="shared" ref="AD295:AD298" si="176">E295/12</f>
        <v>0.66666666666666663</v>
      </c>
      <c r="AE295" s="41">
        <f t="shared" ref="AE295:AE298" si="177">K295*AD295</f>
        <v>80</v>
      </c>
      <c r="AF295" s="41">
        <f t="shared" ref="AF295:AF298" si="178">E295/12</f>
        <v>0.66666666666666663</v>
      </c>
      <c r="AG295" s="41">
        <f t="shared" ref="AG295:AG298" si="179">K295*AF295</f>
        <v>80</v>
      </c>
      <c r="AH295" s="41">
        <f t="shared" ref="AH295:AH298" si="180">E295/12</f>
        <v>0.66666666666666663</v>
      </c>
      <c r="AI295" s="41">
        <f t="shared" ref="AI295:AI298" si="181">K295*AH295</f>
        <v>80</v>
      </c>
      <c r="AJ295" s="41">
        <f t="shared" ref="AJ295:AJ298" si="182">E295/12</f>
        <v>0.66666666666666663</v>
      </c>
      <c r="AK295" s="41">
        <f t="shared" ref="AK295:AK298" si="183">K295*AJ295</f>
        <v>80</v>
      </c>
      <c r="AL295" s="33">
        <f t="shared" si="162"/>
        <v>1200</v>
      </c>
    </row>
    <row r="296" spans="2:38" ht="57.75" x14ac:dyDescent="0.25">
      <c r="B296" s="14">
        <v>24807</v>
      </c>
      <c r="C296" s="14" t="s">
        <v>286</v>
      </c>
      <c r="D296" s="49">
        <v>0</v>
      </c>
      <c r="E296" s="14">
        <v>10</v>
      </c>
      <c r="F296" s="14" t="s">
        <v>49</v>
      </c>
      <c r="G296" s="27" t="s">
        <v>282</v>
      </c>
      <c r="H296" s="28" t="s">
        <v>43</v>
      </c>
      <c r="I296" s="143" t="s">
        <v>44</v>
      </c>
      <c r="J296" s="144"/>
      <c r="K296" s="17">
        <v>15</v>
      </c>
      <c r="L296" s="17">
        <f t="shared" si="164"/>
        <v>150</v>
      </c>
      <c r="M296" s="40"/>
      <c r="N296" s="41"/>
      <c r="O296" s="41"/>
      <c r="P296" s="41"/>
      <c r="Q296" s="41"/>
      <c r="R296" s="41">
        <v>5</v>
      </c>
      <c r="S296" s="41">
        <f t="shared" si="165"/>
        <v>75</v>
      </c>
      <c r="T296" s="43">
        <f t="shared" si="166"/>
        <v>0.83333333333333337</v>
      </c>
      <c r="U296" s="41">
        <f t="shared" si="167"/>
        <v>12.5</v>
      </c>
      <c r="V296" s="41">
        <f t="shared" si="168"/>
        <v>0.83333333333333337</v>
      </c>
      <c r="W296" s="41">
        <f t="shared" si="169"/>
        <v>12.5</v>
      </c>
      <c r="X296" s="43">
        <f t="shared" si="170"/>
        <v>0.83333333333333337</v>
      </c>
      <c r="Y296" s="41">
        <f t="shared" si="171"/>
        <v>12.5</v>
      </c>
      <c r="Z296" s="43">
        <f t="shared" si="172"/>
        <v>0.83333333333333337</v>
      </c>
      <c r="AA296" s="41">
        <f t="shared" si="173"/>
        <v>12.5</v>
      </c>
      <c r="AB296" s="43">
        <f t="shared" si="174"/>
        <v>0.83333333333333337</v>
      </c>
      <c r="AC296" s="41">
        <f t="shared" si="175"/>
        <v>12.5</v>
      </c>
      <c r="AD296" s="41">
        <f t="shared" si="176"/>
        <v>0.83333333333333337</v>
      </c>
      <c r="AE296" s="41">
        <f t="shared" si="177"/>
        <v>12.5</v>
      </c>
      <c r="AF296" s="41">
        <f t="shared" si="178"/>
        <v>0.83333333333333337</v>
      </c>
      <c r="AG296" s="41">
        <f t="shared" si="179"/>
        <v>12.5</v>
      </c>
      <c r="AH296" s="41">
        <f t="shared" si="180"/>
        <v>0.83333333333333337</v>
      </c>
      <c r="AI296" s="41">
        <f t="shared" si="181"/>
        <v>12.5</v>
      </c>
      <c r="AJ296" s="41">
        <f t="shared" si="182"/>
        <v>0.83333333333333337</v>
      </c>
      <c r="AK296" s="41">
        <f t="shared" si="183"/>
        <v>12.5</v>
      </c>
      <c r="AL296" s="33">
        <f t="shared" si="162"/>
        <v>187.5</v>
      </c>
    </row>
    <row r="297" spans="2:38" ht="57.75" x14ac:dyDescent="0.25">
      <c r="B297" s="14">
        <v>24807</v>
      </c>
      <c r="C297" s="14" t="s">
        <v>287</v>
      </c>
      <c r="D297" s="49">
        <v>0</v>
      </c>
      <c r="E297" s="14">
        <v>10</v>
      </c>
      <c r="F297" s="14" t="s">
        <v>41</v>
      </c>
      <c r="G297" s="27" t="s">
        <v>282</v>
      </c>
      <c r="H297" s="28" t="s">
        <v>43</v>
      </c>
      <c r="I297" s="143" t="s">
        <v>44</v>
      </c>
      <c r="J297" s="144"/>
      <c r="K297" s="17">
        <v>70</v>
      </c>
      <c r="L297" s="17">
        <f t="shared" si="164"/>
        <v>700</v>
      </c>
      <c r="M297" s="40"/>
      <c r="N297" s="41"/>
      <c r="O297" s="41"/>
      <c r="P297" s="41"/>
      <c r="Q297" s="41"/>
      <c r="R297" s="41">
        <v>5</v>
      </c>
      <c r="S297" s="41">
        <f t="shared" si="165"/>
        <v>350</v>
      </c>
      <c r="T297" s="43">
        <f t="shared" si="166"/>
        <v>0.83333333333333337</v>
      </c>
      <c r="U297" s="41">
        <f t="shared" si="167"/>
        <v>58.333333333333336</v>
      </c>
      <c r="V297" s="41">
        <f t="shared" si="168"/>
        <v>0.83333333333333337</v>
      </c>
      <c r="W297" s="41">
        <f t="shared" si="169"/>
        <v>58.333333333333336</v>
      </c>
      <c r="X297" s="43">
        <f t="shared" si="170"/>
        <v>0.83333333333333337</v>
      </c>
      <c r="Y297" s="41">
        <f t="shared" si="171"/>
        <v>58.333333333333336</v>
      </c>
      <c r="Z297" s="43">
        <f t="shared" si="172"/>
        <v>0.83333333333333337</v>
      </c>
      <c r="AA297" s="41">
        <f t="shared" si="173"/>
        <v>58.333333333333336</v>
      </c>
      <c r="AB297" s="43">
        <f t="shared" si="174"/>
        <v>0.83333333333333337</v>
      </c>
      <c r="AC297" s="41">
        <f t="shared" si="175"/>
        <v>58.333333333333336</v>
      </c>
      <c r="AD297" s="41">
        <f t="shared" si="176"/>
        <v>0.83333333333333337</v>
      </c>
      <c r="AE297" s="41">
        <f t="shared" si="177"/>
        <v>58.333333333333336</v>
      </c>
      <c r="AF297" s="41">
        <f t="shared" si="178"/>
        <v>0.83333333333333337</v>
      </c>
      <c r="AG297" s="41">
        <f t="shared" si="179"/>
        <v>58.333333333333336</v>
      </c>
      <c r="AH297" s="41">
        <f t="shared" si="180"/>
        <v>0.83333333333333337</v>
      </c>
      <c r="AI297" s="41">
        <f t="shared" si="181"/>
        <v>58.333333333333336</v>
      </c>
      <c r="AJ297" s="41">
        <f t="shared" si="182"/>
        <v>0.83333333333333337</v>
      </c>
      <c r="AK297" s="41">
        <f t="shared" si="183"/>
        <v>58.333333333333336</v>
      </c>
      <c r="AL297" s="33">
        <f t="shared" si="162"/>
        <v>875.00000000000023</v>
      </c>
    </row>
    <row r="298" spans="2:38" ht="57.75" x14ac:dyDescent="0.25">
      <c r="B298" s="49">
        <v>24807</v>
      </c>
      <c r="C298" s="49" t="s">
        <v>288</v>
      </c>
      <c r="D298" s="49">
        <v>0</v>
      </c>
      <c r="E298" s="49">
        <v>10</v>
      </c>
      <c r="F298" s="49" t="s">
        <v>49</v>
      </c>
      <c r="G298" s="64" t="s">
        <v>282</v>
      </c>
      <c r="H298" s="28" t="s">
        <v>43</v>
      </c>
      <c r="I298" s="143" t="s">
        <v>44</v>
      </c>
      <c r="J298" s="144"/>
      <c r="K298" s="50">
        <v>225</v>
      </c>
      <c r="L298" s="50">
        <f t="shared" si="164"/>
        <v>2250</v>
      </c>
      <c r="M298" s="51"/>
      <c r="N298" s="41"/>
      <c r="O298" s="41"/>
      <c r="P298" s="41"/>
      <c r="Q298" s="41"/>
      <c r="R298" s="41">
        <v>5</v>
      </c>
      <c r="S298" s="41">
        <f t="shared" si="165"/>
        <v>1125</v>
      </c>
      <c r="T298" s="43">
        <f t="shared" si="166"/>
        <v>0.83333333333333337</v>
      </c>
      <c r="U298" s="41">
        <f t="shared" si="167"/>
        <v>187.5</v>
      </c>
      <c r="V298" s="41">
        <f t="shared" si="168"/>
        <v>0.83333333333333337</v>
      </c>
      <c r="W298" s="41">
        <f t="shared" si="169"/>
        <v>187.5</v>
      </c>
      <c r="X298" s="43">
        <f t="shared" si="170"/>
        <v>0.83333333333333337</v>
      </c>
      <c r="Y298" s="41">
        <f t="shared" si="171"/>
        <v>187.5</v>
      </c>
      <c r="Z298" s="43">
        <f t="shared" si="172"/>
        <v>0.83333333333333337</v>
      </c>
      <c r="AA298" s="41">
        <f t="shared" si="173"/>
        <v>187.5</v>
      </c>
      <c r="AB298" s="43">
        <f t="shared" si="174"/>
        <v>0.83333333333333337</v>
      </c>
      <c r="AC298" s="41">
        <f t="shared" si="175"/>
        <v>187.5</v>
      </c>
      <c r="AD298" s="41">
        <f t="shared" si="176"/>
        <v>0.83333333333333337</v>
      </c>
      <c r="AE298" s="41">
        <f t="shared" si="177"/>
        <v>187.5</v>
      </c>
      <c r="AF298" s="41">
        <f t="shared" si="178"/>
        <v>0.83333333333333337</v>
      </c>
      <c r="AG298" s="41">
        <f t="shared" si="179"/>
        <v>187.5</v>
      </c>
      <c r="AH298" s="41">
        <f t="shared" si="180"/>
        <v>0.83333333333333337</v>
      </c>
      <c r="AI298" s="41">
        <f t="shared" si="181"/>
        <v>187.5</v>
      </c>
      <c r="AJ298" s="41">
        <f t="shared" si="182"/>
        <v>0.83333333333333337</v>
      </c>
      <c r="AK298" s="41">
        <f t="shared" si="183"/>
        <v>187.5</v>
      </c>
      <c r="AL298" s="33">
        <f t="shared" si="162"/>
        <v>2812.5</v>
      </c>
    </row>
    <row r="299" spans="2:38" ht="57.75" x14ac:dyDescent="0.25">
      <c r="B299" s="49">
        <v>24807</v>
      </c>
      <c r="C299" s="49" t="s">
        <v>289</v>
      </c>
      <c r="D299" s="49">
        <v>0</v>
      </c>
      <c r="E299" s="49">
        <v>20</v>
      </c>
      <c r="F299" s="49" t="s">
        <v>290</v>
      </c>
      <c r="G299" s="64" t="s">
        <v>282</v>
      </c>
      <c r="H299" s="28" t="s">
        <v>43</v>
      </c>
      <c r="I299" s="143" t="s">
        <v>44</v>
      </c>
      <c r="J299" s="144"/>
      <c r="K299" s="50">
        <v>30</v>
      </c>
      <c r="L299" s="50">
        <f t="shared" si="164"/>
        <v>600</v>
      </c>
      <c r="M299" s="51"/>
      <c r="N299" s="41"/>
      <c r="O299" s="41"/>
      <c r="P299" s="41"/>
      <c r="Q299" s="41"/>
      <c r="R299" s="41">
        <v>10</v>
      </c>
      <c r="S299" s="41">
        <f t="shared" si="165"/>
        <v>300</v>
      </c>
      <c r="T299" s="43"/>
      <c r="U299" s="41"/>
      <c r="V299" s="41"/>
      <c r="W299" s="41"/>
      <c r="X299" s="43">
        <v>10</v>
      </c>
      <c r="Y299" s="41">
        <f t="shared" si="171"/>
        <v>300</v>
      </c>
      <c r="Z299" s="43"/>
      <c r="AA299" s="41"/>
      <c r="AB299" s="43"/>
      <c r="AC299" s="41"/>
      <c r="AD299" s="41"/>
      <c r="AE299" s="41"/>
      <c r="AF299" s="41"/>
      <c r="AG299" s="41"/>
      <c r="AH299" s="41"/>
      <c r="AI299" s="41"/>
      <c r="AJ299" s="41"/>
      <c r="AK299" s="41"/>
      <c r="AL299" s="33">
        <f t="shared" si="162"/>
        <v>600</v>
      </c>
    </row>
    <row r="300" spans="2:38" ht="57.75" x14ac:dyDescent="0.25">
      <c r="B300" s="49">
        <v>24807</v>
      </c>
      <c r="C300" s="49" t="s">
        <v>291</v>
      </c>
      <c r="D300" s="49">
        <v>0</v>
      </c>
      <c r="E300" s="49">
        <v>10</v>
      </c>
      <c r="F300" s="49" t="s">
        <v>49</v>
      </c>
      <c r="G300" s="64" t="s">
        <v>282</v>
      </c>
      <c r="H300" s="28" t="s">
        <v>43</v>
      </c>
      <c r="I300" s="143" t="s">
        <v>44</v>
      </c>
      <c r="J300" s="144"/>
      <c r="K300" s="50">
        <f>32.4+123</f>
        <v>155.4</v>
      </c>
      <c r="L300" s="50">
        <f t="shared" si="164"/>
        <v>1554</v>
      </c>
      <c r="M300" s="51"/>
      <c r="N300" s="41"/>
      <c r="O300" s="41"/>
      <c r="P300" s="41"/>
      <c r="Q300" s="41"/>
      <c r="R300" s="41">
        <v>5</v>
      </c>
      <c r="S300" s="41">
        <f t="shared" si="165"/>
        <v>777</v>
      </c>
      <c r="T300" s="43"/>
      <c r="U300" s="41"/>
      <c r="V300" s="41"/>
      <c r="W300" s="41"/>
      <c r="X300" s="43">
        <v>5</v>
      </c>
      <c r="Y300" s="41">
        <f t="shared" si="171"/>
        <v>777</v>
      </c>
      <c r="Z300" s="43"/>
      <c r="AA300" s="41"/>
      <c r="AB300" s="43"/>
      <c r="AC300" s="41"/>
      <c r="AD300" s="41"/>
      <c r="AE300" s="41"/>
      <c r="AF300" s="41"/>
      <c r="AG300" s="41"/>
      <c r="AH300" s="41"/>
      <c r="AI300" s="41"/>
      <c r="AJ300" s="41"/>
      <c r="AK300" s="41"/>
      <c r="AL300" s="33">
        <f t="shared" si="162"/>
        <v>1554</v>
      </c>
    </row>
    <row r="301" spans="2:38" ht="57.75" x14ac:dyDescent="0.25">
      <c r="B301" s="49">
        <v>24807</v>
      </c>
      <c r="C301" s="49" t="s">
        <v>292</v>
      </c>
      <c r="D301" s="49">
        <v>0</v>
      </c>
      <c r="E301" s="49">
        <v>8</v>
      </c>
      <c r="F301" s="49" t="s">
        <v>293</v>
      </c>
      <c r="G301" s="64" t="s">
        <v>282</v>
      </c>
      <c r="H301" s="28" t="s">
        <v>43</v>
      </c>
      <c r="I301" s="143" t="s">
        <v>44</v>
      </c>
      <c r="J301" s="144"/>
      <c r="K301" s="50">
        <v>104.5</v>
      </c>
      <c r="L301" s="50">
        <f t="shared" si="164"/>
        <v>836</v>
      </c>
      <c r="M301" s="51"/>
      <c r="N301" s="41"/>
      <c r="O301" s="41"/>
      <c r="P301" s="41"/>
      <c r="Q301" s="41"/>
      <c r="R301" s="41">
        <v>4</v>
      </c>
      <c r="S301" s="41">
        <f t="shared" si="165"/>
        <v>418</v>
      </c>
      <c r="T301" s="43"/>
      <c r="U301" s="41"/>
      <c r="V301" s="41"/>
      <c r="W301" s="41"/>
      <c r="X301" s="43">
        <v>4</v>
      </c>
      <c r="Y301" s="41">
        <f t="shared" si="171"/>
        <v>418</v>
      </c>
      <c r="Z301" s="43"/>
      <c r="AA301" s="41"/>
      <c r="AB301" s="43"/>
      <c r="AC301" s="41"/>
      <c r="AD301" s="41"/>
      <c r="AE301" s="41"/>
      <c r="AF301" s="41"/>
      <c r="AG301" s="41"/>
      <c r="AH301" s="41"/>
      <c r="AI301" s="41"/>
      <c r="AJ301" s="41"/>
      <c r="AK301" s="41"/>
      <c r="AL301" s="33">
        <f t="shared" si="162"/>
        <v>836</v>
      </c>
    </row>
    <row r="302" spans="2:38" ht="57.75" x14ac:dyDescent="0.25">
      <c r="B302" s="49">
        <v>24807</v>
      </c>
      <c r="C302" s="49" t="s">
        <v>294</v>
      </c>
      <c r="D302" s="49">
        <v>0</v>
      </c>
      <c r="E302" s="49">
        <v>10</v>
      </c>
      <c r="F302" s="49" t="s">
        <v>41</v>
      </c>
      <c r="G302" s="64" t="s">
        <v>282</v>
      </c>
      <c r="H302" s="28" t="s">
        <v>43</v>
      </c>
      <c r="I302" s="143" t="s">
        <v>44</v>
      </c>
      <c r="J302" s="144"/>
      <c r="K302" s="50">
        <v>95</v>
      </c>
      <c r="L302" s="50">
        <f t="shared" si="164"/>
        <v>950</v>
      </c>
      <c r="M302" s="51"/>
      <c r="N302" s="41"/>
      <c r="O302" s="41"/>
      <c r="P302" s="41"/>
      <c r="Q302" s="41"/>
      <c r="R302" s="41">
        <v>5</v>
      </c>
      <c r="S302" s="41">
        <f t="shared" si="165"/>
        <v>475</v>
      </c>
      <c r="T302" s="43"/>
      <c r="U302" s="41"/>
      <c r="V302" s="41"/>
      <c r="W302" s="41"/>
      <c r="X302" s="43">
        <v>5</v>
      </c>
      <c r="Y302" s="41">
        <f t="shared" si="171"/>
        <v>475</v>
      </c>
      <c r="Z302" s="43"/>
      <c r="AA302" s="41"/>
      <c r="AB302" s="43"/>
      <c r="AC302" s="41"/>
      <c r="AD302" s="41"/>
      <c r="AE302" s="41"/>
      <c r="AF302" s="41"/>
      <c r="AG302" s="41"/>
      <c r="AH302" s="41"/>
      <c r="AI302" s="41"/>
      <c r="AJ302" s="41"/>
      <c r="AK302" s="41"/>
      <c r="AL302" s="33">
        <f t="shared" si="162"/>
        <v>950</v>
      </c>
    </row>
    <row r="303" spans="2:38" x14ac:dyDescent="0.25">
      <c r="B303" s="19">
        <v>24900</v>
      </c>
      <c r="C303" s="19"/>
      <c r="D303" s="19"/>
      <c r="E303" s="19"/>
      <c r="F303" s="19"/>
      <c r="G303" s="58"/>
      <c r="H303" s="59"/>
      <c r="I303" s="145"/>
      <c r="J303" s="146"/>
      <c r="K303" s="20"/>
      <c r="L303" s="21">
        <f>L304+L311+L312+L313</f>
        <v>35466.93</v>
      </c>
      <c r="M303" s="60">
        <f>M304</f>
        <v>3003</v>
      </c>
      <c r="N303" s="41"/>
      <c r="O303" s="41"/>
      <c r="P303" s="41"/>
      <c r="Q303" s="41"/>
      <c r="R303" s="41"/>
      <c r="S303" s="41"/>
      <c r="T303" s="43"/>
      <c r="U303" s="41"/>
      <c r="V303" s="41"/>
      <c r="W303" s="41"/>
      <c r="X303" s="43"/>
      <c r="Y303" s="41"/>
      <c r="Z303" s="43"/>
      <c r="AA303" s="41"/>
      <c r="AB303" s="43"/>
      <c r="AC303" s="41"/>
      <c r="AD303" s="41"/>
      <c r="AE303" s="41"/>
      <c r="AF303" s="41"/>
      <c r="AG303" s="41"/>
      <c r="AH303" s="41"/>
      <c r="AI303" s="41"/>
      <c r="AJ303" s="41"/>
      <c r="AK303" s="41"/>
      <c r="AL303" s="33"/>
    </row>
    <row r="304" spans="2:38" x14ac:dyDescent="0.25">
      <c r="B304" s="19">
        <v>24901</v>
      </c>
      <c r="C304" s="19"/>
      <c r="D304" s="19"/>
      <c r="E304" s="19"/>
      <c r="F304" s="19"/>
      <c r="G304" s="58"/>
      <c r="H304" s="59"/>
      <c r="I304" s="145"/>
      <c r="J304" s="146"/>
      <c r="K304" s="20"/>
      <c r="L304" s="21">
        <f>SUM(L305:L310)</f>
        <v>6031.99</v>
      </c>
      <c r="M304" s="44">
        <v>3003</v>
      </c>
      <c r="N304" s="41"/>
      <c r="O304" s="41"/>
      <c r="P304" s="41"/>
      <c r="Q304" s="41"/>
      <c r="R304" s="41"/>
      <c r="S304" s="41"/>
      <c r="T304" s="43"/>
      <c r="U304" s="41"/>
      <c r="V304" s="41"/>
      <c r="W304" s="41"/>
      <c r="X304" s="43"/>
      <c r="Y304" s="41"/>
      <c r="Z304" s="43"/>
      <c r="AA304" s="41"/>
      <c r="AB304" s="43"/>
      <c r="AC304" s="41"/>
      <c r="AD304" s="41"/>
      <c r="AE304" s="41"/>
      <c r="AF304" s="41"/>
      <c r="AG304" s="41"/>
      <c r="AH304" s="41"/>
      <c r="AI304" s="41"/>
      <c r="AJ304" s="41"/>
      <c r="AK304" s="41"/>
      <c r="AL304" s="33"/>
    </row>
    <row r="305" spans="2:40" ht="57.75" x14ac:dyDescent="0.25">
      <c r="B305" s="49">
        <v>24901</v>
      </c>
      <c r="C305" s="26" t="s">
        <v>295</v>
      </c>
      <c r="D305" s="26">
        <v>0</v>
      </c>
      <c r="E305" s="26">
        <v>1</v>
      </c>
      <c r="F305" s="49" t="s">
        <v>546</v>
      </c>
      <c r="G305" s="64" t="s">
        <v>282</v>
      </c>
      <c r="H305" s="28" t="s">
        <v>43</v>
      </c>
      <c r="I305" s="143" t="s">
        <v>44</v>
      </c>
      <c r="J305" s="144"/>
      <c r="K305" s="50">
        <v>1665.99</v>
      </c>
      <c r="L305" s="50">
        <f t="shared" ref="L305:L313" si="184">E305*K305</f>
        <v>1665.99</v>
      </c>
      <c r="M305" s="51"/>
      <c r="N305" s="41"/>
      <c r="O305" s="41"/>
      <c r="P305" s="41"/>
      <c r="Q305" s="41"/>
      <c r="R305" s="41">
        <v>3</v>
      </c>
      <c r="S305" s="41">
        <f t="shared" ref="S305:S309" si="185">K305*R305</f>
        <v>4997.97</v>
      </c>
      <c r="T305" s="43">
        <f t="shared" ref="T305" si="186">E305/12</f>
        <v>8.3333333333333329E-2</v>
      </c>
      <c r="U305" s="41">
        <f t="shared" ref="U305:U313" si="187">K305*T305</f>
        <v>138.83249999999998</v>
      </c>
      <c r="V305" s="41">
        <f t="shared" ref="V305" si="188">E305/12</f>
        <v>8.3333333333333329E-2</v>
      </c>
      <c r="W305" s="41">
        <f t="shared" ref="W305" si="189">K305*V305</f>
        <v>138.83249999999998</v>
      </c>
      <c r="X305" s="43">
        <f t="shared" ref="X305" si="190">E305/12</f>
        <v>8.3333333333333329E-2</v>
      </c>
      <c r="Y305" s="41">
        <f t="shared" ref="Y305" si="191">K305*X305</f>
        <v>138.83249999999998</v>
      </c>
      <c r="Z305" s="43">
        <f t="shared" ref="Z305" si="192">E305/12</f>
        <v>8.3333333333333329E-2</v>
      </c>
      <c r="AA305" s="41">
        <f t="shared" ref="AA305:AA313" si="193">K305*Z305</f>
        <v>138.83249999999998</v>
      </c>
      <c r="AB305" s="43">
        <f t="shared" ref="AB305" si="194">E305/12</f>
        <v>8.3333333333333329E-2</v>
      </c>
      <c r="AC305" s="41">
        <f t="shared" ref="AC305" si="195">K305*AB305</f>
        <v>138.83249999999998</v>
      </c>
      <c r="AD305" s="41">
        <f t="shared" ref="AD305" si="196">E305/12</f>
        <v>8.3333333333333329E-2</v>
      </c>
      <c r="AE305" s="41">
        <f t="shared" ref="AE305" si="197">K305*AD305</f>
        <v>138.83249999999998</v>
      </c>
      <c r="AF305" s="41">
        <f t="shared" ref="AF305" si="198">E305/12</f>
        <v>8.3333333333333329E-2</v>
      </c>
      <c r="AG305" s="41">
        <f t="shared" ref="AG305" si="199">K305*AF305</f>
        <v>138.83249999999998</v>
      </c>
      <c r="AH305" s="41">
        <f t="shared" ref="AH305" si="200">E305/12</f>
        <v>8.3333333333333329E-2</v>
      </c>
      <c r="AI305" s="41">
        <f t="shared" ref="AI305:AI313" si="201">K305*AH305</f>
        <v>138.83249999999998</v>
      </c>
      <c r="AJ305" s="41">
        <f t="shared" ref="AJ305" si="202">E305/12</f>
        <v>8.3333333333333329E-2</v>
      </c>
      <c r="AK305" s="41">
        <f t="shared" ref="AK305" si="203">K305*AJ305</f>
        <v>138.83249999999998</v>
      </c>
      <c r="AL305" s="33">
        <f t="shared" si="162"/>
        <v>6247.4625000000033</v>
      </c>
    </row>
    <row r="306" spans="2:40" ht="57.75" x14ac:dyDescent="0.25">
      <c r="B306" s="14">
        <v>24901</v>
      </c>
      <c r="C306" s="14" t="s">
        <v>296</v>
      </c>
      <c r="D306" s="49">
        <v>0</v>
      </c>
      <c r="E306" s="14">
        <v>3</v>
      </c>
      <c r="F306" s="14" t="s">
        <v>49</v>
      </c>
      <c r="G306" s="27" t="s">
        <v>282</v>
      </c>
      <c r="H306" s="28" t="s">
        <v>43</v>
      </c>
      <c r="I306" s="143" t="s">
        <v>44</v>
      </c>
      <c r="J306" s="144"/>
      <c r="K306" s="17">
        <v>105</v>
      </c>
      <c r="L306" s="17">
        <f t="shared" si="184"/>
        <v>315</v>
      </c>
      <c r="M306" s="40"/>
      <c r="N306" s="41"/>
      <c r="O306" s="41"/>
      <c r="P306" s="41"/>
      <c r="Q306" s="41"/>
      <c r="R306" s="41">
        <v>3</v>
      </c>
      <c r="S306" s="41">
        <f t="shared" si="185"/>
        <v>315</v>
      </c>
      <c r="T306" s="43"/>
      <c r="U306" s="41"/>
      <c r="V306" s="41"/>
      <c r="W306" s="41"/>
      <c r="X306" s="43"/>
      <c r="Y306" s="41"/>
      <c r="Z306" s="43"/>
      <c r="AA306" s="41"/>
      <c r="AB306" s="43"/>
      <c r="AC306" s="41"/>
      <c r="AD306" s="41"/>
      <c r="AE306" s="41"/>
      <c r="AF306" s="41"/>
      <c r="AG306" s="41"/>
      <c r="AH306" s="41"/>
      <c r="AI306" s="41"/>
      <c r="AJ306" s="41"/>
      <c r="AK306" s="41"/>
      <c r="AL306" s="33">
        <f t="shared" si="162"/>
        <v>315</v>
      </c>
    </row>
    <row r="307" spans="2:40" ht="57.75" x14ac:dyDescent="0.25">
      <c r="B307" s="49">
        <v>24901</v>
      </c>
      <c r="C307" s="49" t="s">
        <v>297</v>
      </c>
      <c r="D307" s="49">
        <v>0</v>
      </c>
      <c r="E307" s="49">
        <v>3</v>
      </c>
      <c r="F307" s="49" t="s">
        <v>49</v>
      </c>
      <c r="G307" s="64" t="s">
        <v>282</v>
      </c>
      <c r="H307" s="28" t="s">
        <v>43</v>
      </c>
      <c r="I307" s="143" t="s">
        <v>44</v>
      </c>
      <c r="J307" s="144"/>
      <c r="K307" s="50">
        <v>57</v>
      </c>
      <c r="L307" s="50">
        <f t="shared" si="184"/>
        <v>171</v>
      </c>
      <c r="M307" s="51"/>
      <c r="N307" s="41"/>
      <c r="O307" s="41"/>
      <c r="P307" s="41"/>
      <c r="Q307" s="41"/>
      <c r="R307" s="41">
        <v>3</v>
      </c>
      <c r="S307" s="41">
        <f t="shared" si="185"/>
        <v>171</v>
      </c>
      <c r="T307" s="43"/>
      <c r="U307" s="41"/>
      <c r="V307" s="41"/>
      <c r="W307" s="41"/>
      <c r="X307" s="43"/>
      <c r="Y307" s="41"/>
      <c r="Z307" s="43"/>
      <c r="AA307" s="41"/>
      <c r="AB307" s="43"/>
      <c r="AC307" s="41"/>
      <c r="AD307" s="41"/>
      <c r="AE307" s="41"/>
      <c r="AF307" s="41"/>
      <c r="AG307" s="41"/>
      <c r="AH307" s="41"/>
      <c r="AI307" s="41"/>
      <c r="AJ307" s="41"/>
      <c r="AK307" s="41"/>
      <c r="AL307" s="33">
        <f t="shared" si="162"/>
        <v>171</v>
      </c>
    </row>
    <row r="308" spans="2:40" ht="57.75" x14ac:dyDescent="0.25">
      <c r="B308" s="49">
        <v>24901</v>
      </c>
      <c r="C308" s="49" t="s">
        <v>298</v>
      </c>
      <c r="D308" s="49">
        <v>0</v>
      </c>
      <c r="E308" s="49">
        <v>2</v>
      </c>
      <c r="F308" s="49" t="s">
        <v>299</v>
      </c>
      <c r="G308" s="64" t="s">
        <v>282</v>
      </c>
      <c r="H308" s="28" t="s">
        <v>43</v>
      </c>
      <c r="I308" s="143" t="s">
        <v>44</v>
      </c>
      <c r="J308" s="144"/>
      <c r="K308" s="50">
        <v>425</v>
      </c>
      <c r="L308" s="50">
        <f t="shared" si="184"/>
        <v>850</v>
      </c>
      <c r="M308" s="51"/>
      <c r="N308" s="41"/>
      <c r="O308" s="41"/>
      <c r="P308" s="41"/>
      <c r="Q308" s="41"/>
      <c r="R308" s="41">
        <v>2</v>
      </c>
      <c r="S308" s="41">
        <f t="shared" si="185"/>
        <v>850</v>
      </c>
      <c r="T308" s="43"/>
      <c r="U308" s="41"/>
      <c r="V308" s="41"/>
      <c r="W308" s="41"/>
      <c r="X308" s="43"/>
      <c r="Y308" s="41"/>
      <c r="Z308" s="43"/>
      <c r="AA308" s="41"/>
      <c r="AB308" s="43"/>
      <c r="AC308" s="41"/>
      <c r="AD308" s="41"/>
      <c r="AE308" s="41"/>
      <c r="AF308" s="41"/>
      <c r="AG308" s="41"/>
      <c r="AH308" s="41"/>
      <c r="AI308" s="41"/>
      <c r="AJ308" s="41"/>
      <c r="AK308" s="41"/>
      <c r="AL308" s="33">
        <f t="shared" si="162"/>
        <v>850</v>
      </c>
    </row>
    <row r="309" spans="2:40" ht="57.75" x14ac:dyDescent="0.25">
      <c r="B309" s="49">
        <v>24901</v>
      </c>
      <c r="C309" s="49" t="s">
        <v>300</v>
      </c>
      <c r="D309" s="49">
        <v>0</v>
      </c>
      <c r="E309" s="49">
        <v>6</v>
      </c>
      <c r="F309" s="49" t="s">
        <v>299</v>
      </c>
      <c r="G309" s="64" t="s">
        <v>282</v>
      </c>
      <c r="H309" s="28" t="s">
        <v>43</v>
      </c>
      <c r="I309" s="143" t="s">
        <v>44</v>
      </c>
      <c r="J309" s="144"/>
      <c r="K309" s="50">
        <v>470</v>
      </c>
      <c r="L309" s="50">
        <f t="shared" si="184"/>
        <v>2820</v>
      </c>
      <c r="M309" s="51"/>
      <c r="N309" s="41"/>
      <c r="O309" s="41"/>
      <c r="P309" s="41"/>
      <c r="Q309" s="41"/>
      <c r="R309" s="41">
        <v>3</v>
      </c>
      <c r="S309" s="41">
        <f t="shared" si="185"/>
        <v>1410</v>
      </c>
      <c r="T309" s="43"/>
      <c r="U309" s="41"/>
      <c r="V309" s="41"/>
      <c r="W309" s="41"/>
      <c r="X309" s="43"/>
      <c r="Y309" s="41"/>
      <c r="Z309" s="43">
        <v>3</v>
      </c>
      <c r="AA309" s="41">
        <f>Z309*K309</f>
        <v>1410</v>
      </c>
      <c r="AB309" s="43"/>
      <c r="AC309" s="41"/>
      <c r="AD309" s="41"/>
      <c r="AE309" s="41"/>
      <c r="AF309" s="41"/>
      <c r="AG309" s="41"/>
      <c r="AH309" s="41"/>
      <c r="AI309" s="41"/>
      <c r="AJ309" s="41"/>
      <c r="AK309" s="41"/>
      <c r="AL309" s="33">
        <f t="shared" si="162"/>
        <v>2820</v>
      </c>
    </row>
    <row r="310" spans="2:40" s="83" customFormat="1" ht="57.75" x14ac:dyDescent="0.25">
      <c r="B310" s="26">
        <v>24901</v>
      </c>
      <c r="C310" s="26" t="s">
        <v>301</v>
      </c>
      <c r="D310" s="26">
        <v>0</v>
      </c>
      <c r="E310" s="26">
        <v>20</v>
      </c>
      <c r="F310" s="26" t="s">
        <v>49</v>
      </c>
      <c r="G310" s="62" t="s">
        <v>282</v>
      </c>
      <c r="H310" s="80" t="s">
        <v>43</v>
      </c>
      <c r="I310" s="151" t="s">
        <v>44</v>
      </c>
      <c r="J310" s="152"/>
      <c r="K310" s="81">
        <v>10.5</v>
      </c>
      <c r="L310" s="81">
        <f t="shared" si="184"/>
        <v>210</v>
      </c>
      <c r="M310" s="82"/>
      <c r="N310" s="41"/>
      <c r="O310" s="41"/>
      <c r="P310" s="41">
        <v>5</v>
      </c>
      <c r="Q310" s="41">
        <f t="shared" ref="Q310:Q313" si="204">K310*P310</f>
        <v>52.5</v>
      </c>
      <c r="R310" s="41"/>
      <c r="S310" s="41"/>
      <c r="T310" s="43">
        <v>5</v>
      </c>
      <c r="U310" s="41">
        <f t="shared" si="187"/>
        <v>52.5</v>
      </c>
      <c r="V310" s="41"/>
      <c r="W310" s="41"/>
      <c r="X310" s="43"/>
      <c r="Y310" s="41"/>
      <c r="Z310" s="43">
        <v>5</v>
      </c>
      <c r="AA310" s="41">
        <f t="shared" si="193"/>
        <v>52.5</v>
      </c>
      <c r="AB310" s="43"/>
      <c r="AC310" s="41"/>
      <c r="AD310" s="41"/>
      <c r="AE310" s="41"/>
      <c r="AF310" s="41"/>
      <c r="AG310" s="41"/>
      <c r="AH310" s="41">
        <v>5</v>
      </c>
      <c r="AI310" s="41">
        <f t="shared" si="201"/>
        <v>52.5</v>
      </c>
      <c r="AJ310" s="41"/>
      <c r="AK310" s="41"/>
      <c r="AL310" s="115">
        <f t="shared" si="162"/>
        <v>210</v>
      </c>
      <c r="AM310" s="108"/>
      <c r="AN310" s="108"/>
    </row>
    <row r="311" spans="2:40" s="83" customFormat="1" ht="57.75" x14ac:dyDescent="0.25">
      <c r="B311" s="26">
        <v>24902</v>
      </c>
      <c r="C311" s="26" t="s">
        <v>550</v>
      </c>
      <c r="D311" s="26"/>
      <c r="E311" s="26">
        <v>1</v>
      </c>
      <c r="F311" s="26" t="s">
        <v>49</v>
      </c>
      <c r="G311" s="62" t="s">
        <v>282</v>
      </c>
      <c r="H311" s="80" t="s">
        <v>43</v>
      </c>
      <c r="I311" s="151" t="s">
        <v>44</v>
      </c>
      <c r="J311" s="152"/>
      <c r="K311" s="81">
        <v>1</v>
      </c>
      <c r="L311" s="81">
        <f t="shared" ref="L311:L312" si="205">E311*K311</f>
        <v>1</v>
      </c>
      <c r="M311" s="82"/>
      <c r="N311" s="41"/>
      <c r="O311" s="41"/>
      <c r="P311" s="41">
        <v>5</v>
      </c>
      <c r="Q311" s="41">
        <f t="shared" ref="Q311:Q312" si="206">K311*P311</f>
        <v>5</v>
      </c>
      <c r="R311" s="41"/>
      <c r="S311" s="41"/>
      <c r="T311" s="43">
        <v>5</v>
      </c>
      <c r="U311" s="41">
        <f t="shared" ref="U311:U312" si="207">K311*T311</f>
        <v>5</v>
      </c>
      <c r="V311" s="41"/>
      <c r="W311" s="41"/>
      <c r="X311" s="43"/>
      <c r="Y311" s="41"/>
      <c r="Z311" s="43">
        <v>5</v>
      </c>
      <c r="AA311" s="41">
        <f t="shared" ref="AA311:AA312" si="208">K311*Z311</f>
        <v>5</v>
      </c>
      <c r="AB311" s="43"/>
      <c r="AC311" s="41"/>
      <c r="AD311" s="41"/>
      <c r="AE311" s="41"/>
      <c r="AF311" s="41"/>
      <c r="AG311" s="41"/>
      <c r="AH311" s="41">
        <v>5</v>
      </c>
      <c r="AI311" s="41">
        <f t="shared" ref="AI311:AI312" si="209">K311*AH311</f>
        <v>5</v>
      </c>
      <c r="AJ311" s="41"/>
      <c r="AK311" s="41"/>
      <c r="AL311" s="115">
        <f t="shared" ref="AL311:AL312" si="210">O311+Q311+S311+U311+W311+Y311+AA311+AC311+AE311+AG311+AI311+AK311</f>
        <v>20</v>
      </c>
      <c r="AM311" s="108"/>
      <c r="AN311" s="108"/>
    </row>
    <row r="312" spans="2:40" s="83" customFormat="1" ht="57.75" x14ac:dyDescent="0.25">
      <c r="B312" s="26">
        <v>24903</v>
      </c>
      <c r="C312" s="26" t="s">
        <v>551</v>
      </c>
      <c r="D312" s="26"/>
      <c r="E312" s="26">
        <v>1</v>
      </c>
      <c r="F312" s="26" t="s">
        <v>49</v>
      </c>
      <c r="G312" s="62" t="s">
        <v>282</v>
      </c>
      <c r="H312" s="80" t="s">
        <v>43</v>
      </c>
      <c r="I312" s="151" t="s">
        <v>44</v>
      </c>
      <c r="J312" s="152"/>
      <c r="K312" s="81">
        <v>1</v>
      </c>
      <c r="L312" s="81">
        <f t="shared" si="205"/>
        <v>1</v>
      </c>
      <c r="M312" s="82"/>
      <c r="N312" s="41"/>
      <c r="O312" s="41"/>
      <c r="P312" s="41">
        <v>5</v>
      </c>
      <c r="Q312" s="41">
        <f t="shared" si="206"/>
        <v>5</v>
      </c>
      <c r="R312" s="41"/>
      <c r="S312" s="41"/>
      <c r="T312" s="43">
        <v>5</v>
      </c>
      <c r="U312" s="41">
        <f t="shared" si="207"/>
        <v>5</v>
      </c>
      <c r="V312" s="41"/>
      <c r="W312" s="41"/>
      <c r="X312" s="43"/>
      <c r="Y312" s="41"/>
      <c r="Z312" s="43">
        <v>5</v>
      </c>
      <c r="AA312" s="41">
        <f t="shared" si="208"/>
        <v>5</v>
      </c>
      <c r="AB312" s="43"/>
      <c r="AC312" s="41"/>
      <c r="AD312" s="41"/>
      <c r="AE312" s="41"/>
      <c r="AF312" s="41"/>
      <c r="AG312" s="41"/>
      <c r="AH312" s="41">
        <v>5</v>
      </c>
      <c r="AI312" s="41">
        <f t="shared" si="209"/>
        <v>5</v>
      </c>
      <c r="AJ312" s="41"/>
      <c r="AK312" s="41"/>
      <c r="AL312" s="115">
        <f t="shared" si="210"/>
        <v>20</v>
      </c>
      <c r="AM312" s="108"/>
      <c r="AN312" s="108"/>
    </row>
    <row r="313" spans="2:40" s="83" customFormat="1" ht="57.75" x14ac:dyDescent="0.25">
      <c r="B313" s="26">
        <v>24904</v>
      </c>
      <c r="C313" s="26" t="s">
        <v>302</v>
      </c>
      <c r="D313" s="26">
        <v>0</v>
      </c>
      <c r="E313" s="26">
        <v>1</v>
      </c>
      <c r="F313" s="26" t="s">
        <v>546</v>
      </c>
      <c r="G313" s="62" t="s">
        <v>282</v>
      </c>
      <c r="H313" s="80" t="s">
        <v>43</v>
      </c>
      <c r="I313" s="151" t="s">
        <v>44</v>
      </c>
      <c r="J313" s="152"/>
      <c r="K313" s="81">
        <v>29432.94</v>
      </c>
      <c r="L313" s="81">
        <f t="shared" si="184"/>
        <v>29432.94</v>
      </c>
      <c r="M313" s="82"/>
      <c r="N313" s="41"/>
      <c r="O313" s="41"/>
      <c r="P313" s="41">
        <v>5</v>
      </c>
      <c r="Q313" s="41">
        <f t="shared" si="204"/>
        <v>147164.69999999998</v>
      </c>
      <c r="R313" s="41"/>
      <c r="S313" s="41"/>
      <c r="T313" s="43">
        <v>5</v>
      </c>
      <c r="U313" s="41">
        <f t="shared" si="187"/>
        <v>147164.69999999998</v>
      </c>
      <c r="V313" s="41"/>
      <c r="W313" s="41"/>
      <c r="X313" s="43"/>
      <c r="Y313" s="41"/>
      <c r="Z313" s="43">
        <v>5</v>
      </c>
      <c r="AA313" s="41">
        <f t="shared" si="193"/>
        <v>147164.69999999998</v>
      </c>
      <c r="AB313" s="43"/>
      <c r="AC313" s="41"/>
      <c r="AD313" s="41"/>
      <c r="AE313" s="41"/>
      <c r="AF313" s="41"/>
      <c r="AG313" s="41"/>
      <c r="AH313" s="41">
        <v>5</v>
      </c>
      <c r="AI313" s="41">
        <f t="shared" si="201"/>
        <v>147164.69999999998</v>
      </c>
      <c r="AJ313" s="41"/>
      <c r="AK313" s="41"/>
      <c r="AL313" s="115">
        <f t="shared" si="162"/>
        <v>588658.79999999993</v>
      </c>
      <c r="AM313" s="108"/>
      <c r="AN313" s="108"/>
    </row>
    <row r="314" spans="2:40" x14ac:dyDescent="0.25">
      <c r="B314" s="19">
        <v>25000</v>
      </c>
      <c r="C314" s="19"/>
      <c r="D314" s="19"/>
      <c r="E314" s="19"/>
      <c r="F314" s="19"/>
      <c r="G314" s="58"/>
      <c r="H314" s="59"/>
      <c r="I314" s="145"/>
      <c r="J314" s="146"/>
      <c r="K314" s="20"/>
      <c r="L314" s="21">
        <f>+L315+L317+L319+L321+L324</f>
        <v>20331.5</v>
      </c>
      <c r="M314" s="60">
        <f>M324</f>
        <v>4708.8900000000003</v>
      </c>
      <c r="N314" s="41"/>
      <c r="O314" s="41"/>
      <c r="P314" s="41"/>
      <c r="Q314" s="41"/>
      <c r="R314" s="41"/>
      <c r="S314" s="41"/>
      <c r="T314" s="43"/>
      <c r="U314" s="41"/>
      <c r="V314" s="41"/>
      <c r="W314" s="41"/>
      <c r="X314" s="43"/>
      <c r="Y314" s="41"/>
      <c r="Z314" s="43"/>
      <c r="AA314" s="41"/>
      <c r="AB314" s="43"/>
      <c r="AC314" s="41"/>
      <c r="AD314" s="41"/>
      <c r="AE314" s="41"/>
      <c r="AF314" s="41"/>
      <c r="AG314" s="41"/>
      <c r="AH314" s="41"/>
      <c r="AI314" s="41"/>
      <c r="AJ314" s="41"/>
      <c r="AK314" s="41"/>
      <c r="AL314" s="33"/>
    </row>
    <row r="315" spans="2:40" x14ac:dyDescent="0.25">
      <c r="B315" s="19">
        <v>25100</v>
      </c>
      <c r="C315" s="19"/>
      <c r="D315" s="19"/>
      <c r="E315" s="19"/>
      <c r="F315" s="19"/>
      <c r="G315" s="58"/>
      <c r="H315" s="59"/>
      <c r="I315" s="124"/>
      <c r="J315" s="125"/>
      <c r="K315" s="20"/>
      <c r="L315" s="21">
        <f>SUM(L316)</f>
        <v>2659</v>
      </c>
      <c r="M315" s="60"/>
      <c r="N315" s="41"/>
      <c r="O315" s="41"/>
      <c r="P315" s="41"/>
      <c r="Q315" s="41"/>
      <c r="R315" s="41"/>
      <c r="S315" s="41"/>
      <c r="T315" s="43"/>
      <c r="U315" s="41"/>
      <c r="V315" s="41"/>
      <c r="W315" s="41"/>
      <c r="X315" s="43"/>
      <c r="Y315" s="41"/>
      <c r="Z315" s="43"/>
      <c r="AA315" s="41"/>
      <c r="AB315" s="43"/>
      <c r="AC315" s="41"/>
      <c r="AD315" s="41"/>
      <c r="AE315" s="41"/>
      <c r="AF315" s="41"/>
      <c r="AG315" s="41"/>
      <c r="AH315" s="41"/>
      <c r="AI315" s="41"/>
      <c r="AJ315" s="41"/>
      <c r="AK315" s="41"/>
      <c r="AL315" s="33"/>
    </row>
    <row r="316" spans="2:40" s="83" customFormat="1" ht="57.75" x14ac:dyDescent="0.25">
      <c r="B316" s="26">
        <v>25102</v>
      </c>
      <c r="C316" s="26" t="s">
        <v>500</v>
      </c>
      <c r="D316" s="26"/>
      <c r="E316" s="26">
        <v>1</v>
      </c>
      <c r="F316" s="49" t="s">
        <v>226</v>
      </c>
      <c r="G316" s="14" t="s">
        <v>89</v>
      </c>
      <c r="H316" s="28" t="s">
        <v>43</v>
      </c>
      <c r="I316" s="155" t="s">
        <v>44</v>
      </c>
      <c r="J316" s="156"/>
      <c r="K316" s="81">
        <v>2659</v>
      </c>
      <c r="L316" s="81">
        <f>+E316*K316</f>
        <v>2659</v>
      </c>
      <c r="M316" s="127"/>
      <c r="N316" s="41"/>
      <c r="O316" s="41"/>
      <c r="P316" s="41"/>
      <c r="Q316" s="41"/>
      <c r="R316" s="41"/>
      <c r="S316" s="41"/>
      <c r="T316" s="43"/>
      <c r="U316" s="41"/>
      <c r="V316" s="41"/>
      <c r="W316" s="41"/>
      <c r="X316" s="43"/>
      <c r="Y316" s="41"/>
      <c r="Z316" s="43"/>
      <c r="AA316" s="41"/>
      <c r="AB316" s="43"/>
      <c r="AC316" s="41"/>
      <c r="AD316" s="41"/>
      <c r="AE316" s="41"/>
      <c r="AF316" s="41"/>
      <c r="AG316" s="41"/>
      <c r="AH316" s="41"/>
      <c r="AI316" s="41"/>
      <c r="AJ316" s="41"/>
      <c r="AK316" s="41"/>
      <c r="AL316" s="115"/>
      <c r="AM316" s="108"/>
      <c r="AN316" s="108"/>
    </row>
    <row r="317" spans="2:40" x14ac:dyDescent="0.25">
      <c r="B317" s="19">
        <v>25200</v>
      </c>
      <c r="C317" s="19"/>
      <c r="D317" s="19"/>
      <c r="E317" s="19"/>
      <c r="F317" s="19"/>
      <c r="G317" s="58"/>
      <c r="H317" s="59"/>
      <c r="I317" s="124"/>
      <c r="J317" s="125"/>
      <c r="K317" s="20"/>
      <c r="L317" s="21">
        <f>SUM(L318)</f>
        <v>1</v>
      </c>
      <c r="M317" s="60"/>
      <c r="N317" s="41"/>
      <c r="O317" s="41"/>
      <c r="P317" s="41"/>
      <c r="Q317" s="41"/>
      <c r="R317" s="41"/>
      <c r="S317" s="41"/>
      <c r="T317" s="43"/>
      <c r="U317" s="41"/>
      <c r="V317" s="41"/>
      <c r="W317" s="41"/>
      <c r="X317" s="43"/>
      <c r="Y317" s="41"/>
      <c r="Z317" s="43"/>
      <c r="AA317" s="41"/>
      <c r="AB317" s="43"/>
      <c r="AC317" s="41"/>
      <c r="AD317" s="41"/>
      <c r="AE317" s="41"/>
      <c r="AF317" s="41"/>
      <c r="AG317" s="41"/>
      <c r="AH317" s="41"/>
      <c r="AI317" s="41"/>
      <c r="AJ317" s="41"/>
      <c r="AK317" s="41"/>
      <c r="AL317" s="33"/>
    </row>
    <row r="318" spans="2:40" s="83" customFormat="1" ht="57.75" x14ac:dyDescent="0.25">
      <c r="B318" s="26">
        <v>25201</v>
      </c>
      <c r="C318" s="26" t="s">
        <v>501</v>
      </c>
      <c r="D318" s="26"/>
      <c r="E318" s="26">
        <v>1</v>
      </c>
      <c r="F318" s="49" t="s">
        <v>226</v>
      </c>
      <c r="G318" s="14" t="s">
        <v>89</v>
      </c>
      <c r="H318" s="28" t="s">
        <v>43</v>
      </c>
      <c r="I318" s="155" t="s">
        <v>44</v>
      </c>
      <c r="J318" s="156"/>
      <c r="K318" s="81">
        <v>1</v>
      </c>
      <c r="L318" s="81">
        <f>+E318*K318</f>
        <v>1</v>
      </c>
      <c r="M318" s="127"/>
      <c r="N318" s="41"/>
      <c r="O318" s="41"/>
      <c r="P318" s="41"/>
      <c r="Q318" s="41"/>
      <c r="R318" s="41"/>
      <c r="S318" s="41"/>
      <c r="T318" s="43"/>
      <c r="U318" s="41"/>
      <c r="V318" s="41"/>
      <c r="W318" s="41"/>
      <c r="X318" s="43"/>
      <c r="Y318" s="41"/>
      <c r="Z318" s="43"/>
      <c r="AA318" s="41"/>
      <c r="AB318" s="43"/>
      <c r="AC318" s="41"/>
      <c r="AD318" s="41"/>
      <c r="AE318" s="41"/>
      <c r="AF318" s="41"/>
      <c r="AG318" s="41"/>
      <c r="AH318" s="41"/>
      <c r="AI318" s="41"/>
      <c r="AJ318" s="41"/>
      <c r="AK318" s="41"/>
      <c r="AL318" s="115"/>
      <c r="AM318" s="108"/>
      <c r="AN318" s="108"/>
    </row>
    <row r="319" spans="2:40" x14ac:dyDescent="0.25">
      <c r="B319" s="19">
        <v>25300</v>
      </c>
      <c r="C319" s="19"/>
      <c r="D319" s="19"/>
      <c r="E319" s="19"/>
      <c r="F319" s="19"/>
      <c r="G319" s="58"/>
      <c r="H319" s="59"/>
      <c r="I319" s="124"/>
      <c r="J319" s="125"/>
      <c r="K319" s="20"/>
      <c r="L319" s="21">
        <f>SUM(L320)</f>
        <v>209</v>
      </c>
      <c r="M319" s="60"/>
      <c r="N319" s="41"/>
      <c r="O319" s="41"/>
      <c r="P319" s="41"/>
      <c r="Q319" s="41"/>
      <c r="R319" s="41"/>
      <c r="S319" s="41"/>
      <c r="T319" s="43"/>
      <c r="U319" s="41"/>
      <c r="V319" s="41"/>
      <c r="W319" s="41"/>
      <c r="X319" s="43"/>
      <c r="Y319" s="41"/>
      <c r="Z319" s="43"/>
      <c r="AA319" s="41"/>
      <c r="AB319" s="43"/>
      <c r="AC319" s="41"/>
      <c r="AD319" s="41"/>
      <c r="AE319" s="41"/>
      <c r="AF319" s="41"/>
      <c r="AG319" s="41"/>
      <c r="AH319" s="41"/>
      <c r="AI319" s="41"/>
      <c r="AJ319" s="41"/>
      <c r="AK319" s="41"/>
      <c r="AL319" s="33"/>
    </row>
    <row r="320" spans="2:40" s="83" customFormat="1" ht="57.75" x14ac:dyDescent="0.25">
      <c r="B320" s="26">
        <v>25301</v>
      </c>
      <c r="C320" s="26" t="s">
        <v>502</v>
      </c>
      <c r="D320" s="26"/>
      <c r="E320" s="26">
        <v>1</v>
      </c>
      <c r="F320" s="49" t="s">
        <v>226</v>
      </c>
      <c r="G320" s="14" t="s">
        <v>89</v>
      </c>
      <c r="H320" s="28" t="s">
        <v>43</v>
      </c>
      <c r="I320" s="155" t="s">
        <v>44</v>
      </c>
      <c r="J320" s="156"/>
      <c r="K320" s="81">
        <v>209</v>
      </c>
      <c r="L320" s="81">
        <f>+E320*K320</f>
        <v>209</v>
      </c>
      <c r="M320" s="127"/>
      <c r="N320" s="41"/>
      <c r="O320" s="41"/>
      <c r="P320" s="41"/>
      <c r="Q320" s="41"/>
      <c r="R320" s="41"/>
      <c r="S320" s="41"/>
      <c r="T320" s="43"/>
      <c r="U320" s="41"/>
      <c r="V320" s="41"/>
      <c r="W320" s="41"/>
      <c r="X320" s="43"/>
      <c r="Y320" s="41"/>
      <c r="Z320" s="43"/>
      <c r="AA320" s="41"/>
      <c r="AB320" s="43"/>
      <c r="AC320" s="41"/>
      <c r="AD320" s="41"/>
      <c r="AE320" s="41"/>
      <c r="AF320" s="41"/>
      <c r="AG320" s="41"/>
      <c r="AH320" s="41"/>
      <c r="AI320" s="41"/>
      <c r="AJ320" s="41"/>
      <c r="AK320" s="41"/>
      <c r="AL320" s="115"/>
      <c r="AM320" s="108"/>
      <c r="AN320" s="108"/>
    </row>
    <row r="321" spans="2:40" x14ac:dyDescent="0.25">
      <c r="B321" s="19">
        <v>25400</v>
      </c>
      <c r="C321" s="19"/>
      <c r="D321" s="19"/>
      <c r="E321" s="19"/>
      <c r="F321" s="19"/>
      <c r="G321" s="58"/>
      <c r="H321" s="59"/>
      <c r="I321" s="124"/>
      <c r="J321" s="125"/>
      <c r="K321" s="20"/>
      <c r="L321" s="21">
        <f>SUM(L322:L323)</f>
        <v>321</v>
      </c>
      <c r="M321" s="60"/>
      <c r="N321" s="41"/>
      <c r="O321" s="41"/>
      <c r="P321" s="41"/>
      <c r="Q321" s="41"/>
      <c r="R321" s="41"/>
      <c r="S321" s="41"/>
      <c r="T321" s="43"/>
      <c r="U321" s="41"/>
      <c r="V321" s="41"/>
      <c r="W321" s="41"/>
      <c r="X321" s="43"/>
      <c r="Y321" s="41"/>
      <c r="Z321" s="43"/>
      <c r="AA321" s="41"/>
      <c r="AB321" s="43"/>
      <c r="AC321" s="41"/>
      <c r="AD321" s="41"/>
      <c r="AE321" s="41"/>
      <c r="AF321" s="41"/>
      <c r="AG321" s="41"/>
      <c r="AH321" s="41"/>
      <c r="AI321" s="41"/>
      <c r="AJ321" s="41"/>
      <c r="AK321" s="41"/>
      <c r="AL321" s="33"/>
    </row>
    <row r="322" spans="2:40" s="83" customFormat="1" ht="57.75" x14ac:dyDescent="0.25">
      <c r="B322" s="26">
        <v>25401</v>
      </c>
      <c r="C322" s="26" t="s">
        <v>503</v>
      </c>
      <c r="D322" s="26"/>
      <c r="E322" s="26">
        <v>1</v>
      </c>
      <c r="F322" s="49" t="s">
        <v>226</v>
      </c>
      <c r="G322" s="14" t="s">
        <v>89</v>
      </c>
      <c r="H322" s="28" t="s">
        <v>43</v>
      </c>
      <c r="I322" s="155" t="s">
        <v>44</v>
      </c>
      <c r="J322" s="156"/>
      <c r="K322" s="81">
        <v>161</v>
      </c>
      <c r="L322" s="81">
        <f>+E322*K322</f>
        <v>161</v>
      </c>
      <c r="M322" s="127"/>
      <c r="N322" s="41"/>
      <c r="O322" s="41"/>
      <c r="P322" s="41"/>
      <c r="Q322" s="41"/>
      <c r="R322" s="41"/>
      <c r="S322" s="41"/>
      <c r="T322" s="43"/>
      <c r="U322" s="41"/>
      <c r="V322" s="41"/>
      <c r="W322" s="41"/>
      <c r="X322" s="43"/>
      <c r="Y322" s="41"/>
      <c r="Z322" s="43"/>
      <c r="AA322" s="41"/>
      <c r="AB322" s="43"/>
      <c r="AC322" s="41"/>
      <c r="AD322" s="41"/>
      <c r="AE322" s="41"/>
      <c r="AF322" s="41"/>
      <c r="AG322" s="41"/>
      <c r="AH322" s="41"/>
      <c r="AI322" s="41"/>
      <c r="AJ322" s="41"/>
      <c r="AK322" s="41"/>
      <c r="AL322" s="115"/>
      <c r="AM322" s="108"/>
      <c r="AN322" s="108"/>
    </row>
    <row r="323" spans="2:40" s="83" customFormat="1" ht="57.75" x14ac:dyDescent="0.25">
      <c r="B323" s="26">
        <v>25402</v>
      </c>
      <c r="C323" s="26" t="s">
        <v>504</v>
      </c>
      <c r="D323" s="26"/>
      <c r="E323" s="26">
        <v>1</v>
      </c>
      <c r="F323" s="49" t="s">
        <v>226</v>
      </c>
      <c r="G323" s="14" t="s">
        <v>89</v>
      </c>
      <c r="H323" s="28" t="s">
        <v>43</v>
      </c>
      <c r="I323" s="155" t="s">
        <v>44</v>
      </c>
      <c r="J323" s="156"/>
      <c r="K323" s="81">
        <v>160</v>
      </c>
      <c r="L323" s="81">
        <f>+E323*K323</f>
        <v>160</v>
      </c>
      <c r="M323" s="127"/>
      <c r="N323" s="41"/>
      <c r="O323" s="41"/>
      <c r="P323" s="41"/>
      <c r="Q323" s="41"/>
      <c r="R323" s="41"/>
      <c r="S323" s="41"/>
      <c r="T323" s="43"/>
      <c r="U323" s="41"/>
      <c r="V323" s="41"/>
      <c r="W323" s="41"/>
      <c r="X323" s="43"/>
      <c r="Y323" s="41"/>
      <c r="Z323" s="43"/>
      <c r="AA323" s="41"/>
      <c r="AB323" s="43"/>
      <c r="AC323" s="41"/>
      <c r="AD323" s="41"/>
      <c r="AE323" s="41"/>
      <c r="AF323" s="41"/>
      <c r="AG323" s="41"/>
      <c r="AH323" s="41"/>
      <c r="AI323" s="41"/>
      <c r="AJ323" s="41"/>
      <c r="AK323" s="41"/>
      <c r="AL323" s="115"/>
      <c r="AM323" s="108"/>
      <c r="AN323" s="108"/>
    </row>
    <row r="324" spans="2:40" x14ac:dyDescent="0.25">
      <c r="B324" s="19">
        <v>25600</v>
      </c>
      <c r="C324" s="19"/>
      <c r="D324" s="19"/>
      <c r="E324" s="19"/>
      <c r="F324" s="19"/>
      <c r="G324" s="58"/>
      <c r="H324" s="59"/>
      <c r="I324" s="145"/>
      <c r="J324" s="146"/>
      <c r="K324" s="20"/>
      <c r="L324" s="21">
        <f>L325</f>
        <v>17141.5</v>
      </c>
      <c r="M324" s="60">
        <f>M325</f>
        <v>4708.8900000000003</v>
      </c>
      <c r="N324" s="41"/>
      <c r="O324" s="41"/>
      <c r="P324" s="41"/>
      <c r="Q324" s="41"/>
      <c r="R324" s="41"/>
      <c r="S324" s="41"/>
      <c r="T324" s="43"/>
      <c r="U324" s="41"/>
      <c r="V324" s="41"/>
      <c r="W324" s="41"/>
      <c r="X324" s="43"/>
      <c r="Y324" s="41"/>
      <c r="Z324" s="43"/>
      <c r="AA324" s="41"/>
      <c r="AB324" s="43"/>
      <c r="AC324" s="41"/>
      <c r="AD324" s="41"/>
      <c r="AE324" s="41"/>
      <c r="AF324" s="41"/>
      <c r="AG324" s="41"/>
      <c r="AH324" s="41"/>
      <c r="AI324" s="41"/>
      <c r="AJ324" s="41"/>
      <c r="AK324" s="41"/>
      <c r="AL324" s="33"/>
    </row>
    <row r="325" spans="2:40" x14ac:dyDescent="0.25">
      <c r="B325" s="19">
        <v>25601</v>
      </c>
      <c r="C325" s="19"/>
      <c r="D325" s="19"/>
      <c r="E325" s="19"/>
      <c r="F325" s="19"/>
      <c r="G325" s="58"/>
      <c r="H325" s="59"/>
      <c r="I325" s="145"/>
      <c r="J325" s="146"/>
      <c r="K325" s="20"/>
      <c r="L325" s="21">
        <f>SUM(L326:L327)</f>
        <v>17141.5</v>
      </c>
      <c r="M325" s="44">
        <v>4708.8900000000003</v>
      </c>
      <c r="N325" s="41"/>
      <c r="O325" s="41"/>
      <c r="P325" s="41"/>
      <c r="Q325" s="41"/>
      <c r="R325" s="41"/>
      <c r="S325" s="41"/>
      <c r="T325" s="43"/>
      <c r="U325" s="41"/>
      <c r="V325" s="41"/>
      <c r="W325" s="41"/>
      <c r="X325" s="43"/>
      <c r="Y325" s="41"/>
      <c r="Z325" s="43"/>
      <c r="AA325" s="41"/>
      <c r="AB325" s="43"/>
      <c r="AC325" s="41"/>
      <c r="AD325" s="41"/>
      <c r="AE325" s="41"/>
      <c r="AF325" s="41"/>
      <c r="AG325" s="41"/>
      <c r="AH325" s="41"/>
      <c r="AI325" s="41"/>
      <c r="AJ325" s="41"/>
      <c r="AK325" s="41"/>
      <c r="AL325" s="33"/>
    </row>
    <row r="326" spans="2:40" ht="33.75" customHeight="1" x14ac:dyDescent="0.25">
      <c r="B326" s="14">
        <v>25601</v>
      </c>
      <c r="C326" s="48" t="s">
        <v>303</v>
      </c>
      <c r="D326" s="49">
        <v>0</v>
      </c>
      <c r="E326" s="49">
        <v>200</v>
      </c>
      <c r="F326" s="49" t="s">
        <v>304</v>
      </c>
      <c r="G326" s="27" t="s">
        <v>42</v>
      </c>
      <c r="H326" s="28" t="s">
        <v>43</v>
      </c>
      <c r="I326" s="143" t="s">
        <v>44</v>
      </c>
      <c r="J326" s="144"/>
      <c r="K326" s="36">
        <v>58.5</v>
      </c>
      <c r="L326" s="29">
        <f t="shared" ref="L326" si="211">E326*K326</f>
        <v>11700</v>
      </c>
      <c r="M326" s="40"/>
      <c r="N326" s="41">
        <f t="shared" ref="N326:N327" si="212">E326/12</f>
        <v>16.666666666666668</v>
      </c>
      <c r="O326" s="41">
        <f t="shared" ref="O326:O327" si="213">N326*K326</f>
        <v>975.00000000000011</v>
      </c>
      <c r="P326" s="41">
        <f t="shared" ref="P326:P327" si="214">E326/12</f>
        <v>16.666666666666668</v>
      </c>
      <c r="Q326" s="41">
        <f t="shared" ref="Q326:Q327" si="215">K326*P326</f>
        <v>975.00000000000011</v>
      </c>
      <c r="R326" s="41">
        <f t="shared" ref="R326:R327" si="216">E326/12</f>
        <v>16.666666666666668</v>
      </c>
      <c r="S326" s="41">
        <f t="shared" ref="S326:S327" si="217">K326*R326</f>
        <v>975.00000000000011</v>
      </c>
      <c r="T326" s="43">
        <f t="shared" ref="T326:T327" si="218">E326/12</f>
        <v>16.666666666666668</v>
      </c>
      <c r="U326" s="41">
        <f t="shared" ref="U326:U327" si="219">K326*T326</f>
        <v>975.00000000000011</v>
      </c>
      <c r="V326" s="41">
        <f t="shared" ref="V326:V327" si="220">E326/12</f>
        <v>16.666666666666668</v>
      </c>
      <c r="W326" s="41">
        <f t="shared" ref="W326:W327" si="221">K326*V326</f>
        <v>975.00000000000011</v>
      </c>
      <c r="X326" s="43">
        <f t="shared" ref="X326:X327" si="222">E326/12</f>
        <v>16.666666666666668</v>
      </c>
      <c r="Y326" s="41">
        <f t="shared" ref="Y326:Y327" si="223">K326*X326</f>
        <v>975.00000000000011</v>
      </c>
      <c r="Z326" s="43">
        <f t="shared" ref="Z326:Z327" si="224">E326/12</f>
        <v>16.666666666666668</v>
      </c>
      <c r="AA326" s="41">
        <f t="shared" ref="AA326:AA327" si="225">K326*Z326</f>
        <v>975.00000000000011</v>
      </c>
      <c r="AB326" s="43">
        <f t="shared" ref="AB326:AB327" si="226">E326/12</f>
        <v>16.666666666666668</v>
      </c>
      <c r="AC326" s="41">
        <f t="shared" ref="AC326:AC327" si="227">K326*AB326</f>
        <v>975.00000000000011</v>
      </c>
      <c r="AD326" s="41">
        <f t="shared" ref="AD326:AD327" si="228">E326/12</f>
        <v>16.666666666666668</v>
      </c>
      <c r="AE326" s="41">
        <f t="shared" ref="AE326:AE327" si="229">K326*AD326</f>
        <v>975.00000000000011</v>
      </c>
      <c r="AF326" s="41">
        <f t="shared" ref="AF326:AF327" si="230">E326/12</f>
        <v>16.666666666666668</v>
      </c>
      <c r="AG326" s="41">
        <f t="shared" ref="AG326:AG327" si="231">K326*AF326</f>
        <v>975.00000000000011</v>
      </c>
      <c r="AH326" s="41">
        <f t="shared" ref="AH326:AH327" si="232">E326/12</f>
        <v>16.666666666666668</v>
      </c>
      <c r="AI326" s="41">
        <f t="shared" ref="AI326:AI327" si="233">K326*AH326</f>
        <v>975.00000000000011</v>
      </c>
      <c r="AJ326" s="41">
        <f t="shared" ref="AJ326:AJ327" si="234">E326/12</f>
        <v>16.666666666666668</v>
      </c>
      <c r="AK326" s="41">
        <f t="shared" ref="AK326:AK327" si="235">K326*AJ326</f>
        <v>975.00000000000011</v>
      </c>
      <c r="AL326" s="33">
        <f t="shared" si="162"/>
        <v>11700.000000000002</v>
      </c>
    </row>
    <row r="327" spans="2:40" ht="57.75" x14ac:dyDescent="0.25">
      <c r="B327" s="49">
        <v>25601</v>
      </c>
      <c r="C327" s="79" t="s">
        <v>305</v>
      </c>
      <c r="D327" s="26">
        <v>0</v>
      </c>
      <c r="E327" s="26">
        <v>1</v>
      </c>
      <c r="F327" s="49" t="s">
        <v>306</v>
      </c>
      <c r="G327" s="64" t="s">
        <v>89</v>
      </c>
      <c r="H327" s="28" t="s">
        <v>43</v>
      </c>
      <c r="I327" s="143" t="s">
        <v>44</v>
      </c>
      <c r="J327" s="144"/>
      <c r="K327" s="50">
        <v>5441.5</v>
      </c>
      <c r="L327" s="50">
        <f>E327*K327</f>
        <v>5441.5</v>
      </c>
      <c r="M327" s="51"/>
      <c r="N327" s="41">
        <f t="shared" si="212"/>
        <v>8.3333333333333329E-2</v>
      </c>
      <c r="O327" s="41">
        <f t="shared" si="213"/>
        <v>453.45833333333331</v>
      </c>
      <c r="P327" s="41">
        <f t="shared" si="214"/>
        <v>8.3333333333333329E-2</v>
      </c>
      <c r="Q327" s="41">
        <f t="shared" si="215"/>
        <v>453.45833333333331</v>
      </c>
      <c r="R327" s="41">
        <f t="shared" si="216"/>
        <v>8.3333333333333329E-2</v>
      </c>
      <c r="S327" s="41">
        <f t="shared" si="217"/>
        <v>453.45833333333331</v>
      </c>
      <c r="T327" s="43">
        <f t="shared" si="218"/>
        <v>8.3333333333333329E-2</v>
      </c>
      <c r="U327" s="41">
        <f t="shared" si="219"/>
        <v>453.45833333333331</v>
      </c>
      <c r="V327" s="41">
        <f t="shared" si="220"/>
        <v>8.3333333333333329E-2</v>
      </c>
      <c r="W327" s="41">
        <f t="shared" si="221"/>
        <v>453.45833333333331</v>
      </c>
      <c r="X327" s="43">
        <f t="shared" si="222"/>
        <v>8.3333333333333329E-2</v>
      </c>
      <c r="Y327" s="41">
        <f t="shared" si="223"/>
        <v>453.45833333333331</v>
      </c>
      <c r="Z327" s="43">
        <f t="shared" si="224"/>
        <v>8.3333333333333329E-2</v>
      </c>
      <c r="AA327" s="41">
        <f t="shared" si="225"/>
        <v>453.45833333333331</v>
      </c>
      <c r="AB327" s="43">
        <f t="shared" si="226"/>
        <v>8.3333333333333329E-2</v>
      </c>
      <c r="AC327" s="41">
        <f t="shared" si="227"/>
        <v>453.45833333333331</v>
      </c>
      <c r="AD327" s="41">
        <f t="shared" si="228"/>
        <v>8.3333333333333329E-2</v>
      </c>
      <c r="AE327" s="41">
        <f t="shared" si="229"/>
        <v>453.45833333333331</v>
      </c>
      <c r="AF327" s="41">
        <f t="shared" si="230"/>
        <v>8.3333333333333329E-2</v>
      </c>
      <c r="AG327" s="41">
        <f t="shared" si="231"/>
        <v>453.45833333333331</v>
      </c>
      <c r="AH327" s="41">
        <f t="shared" si="232"/>
        <v>8.3333333333333329E-2</v>
      </c>
      <c r="AI327" s="41">
        <f t="shared" si="233"/>
        <v>453.45833333333331</v>
      </c>
      <c r="AJ327" s="41">
        <f t="shared" si="234"/>
        <v>8.3333333333333329E-2</v>
      </c>
      <c r="AK327" s="41">
        <f t="shared" si="235"/>
        <v>453.45833333333331</v>
      </c>
      <c r="AL327" s="33">
        <f t="shared" si="162"/>
        <v>5441.5</v>
      </c>
    </row>
    <row r="328" spans="2:40" x14ac:dyDescent="0.25">
      <c r="B328" s="19">
        <v>26000</v>
      </c>
      <c r="C328" s="19"/>
      <c r="D328" s="19"/>
      <c r="E328" s="19"/>
      <c r="F328" s="19"/>
      <c r="G328" s="58"/>
      <c r="H328" s="59"/>
      <c r="I328" s="145"/>
      <c r="J328" s="146"/>
      <c r="K328" s="20"/>
      <c r="L328" s="21">
        <f>L329</f>
        <v>1136412.1299999999</v>
      </c>
      <c r="M328" s="60">
        <f>M329</f>
        <v>1250400</v>
      </c>
      <c r="N328" s="41"/>
      <c r="O328" s="41"/>
      <c r="P328" s="41"/>
      <c r="Q328" s="41"/>
      <c r="R328" s="41"/>
      <c r="S328" s="41"/>
      <c r="T328" s="43"/>
      <c r="U328" s="41"/>
      <c r="V328" s="41"/>
      <c r="W328" s="41"/>
      <c r="X328" s="43"/>
      <c r="Y328" s="41"/>
      <c r="Z328" s="43"/>
      <c r="AA328" s="41"/>
      <c r="AB328" s="43"/>
      <c r="AC328" s="41"/>
      <c r="AD328" s="41"/>
      <c r="AE328" s="41"/>
      <c r="AF328" s="41"/>
      <c r="AG328" s="41"/>
      <c r="AH328" s="41"/>
      <c r="AI328" s="41"/>
      <c r="AJ328" s="41"/>
      <c r="AK328" s="41"/>
      <c r="AL328" s="33"/>
    </row>
    <row r="329" spans="2:40" x14ac:dyDescent="0.25">
      <c r="B329" s="19">
        <v>26100</v>
      </c>
      <c r="C329" s="19"/>
      <c r="D329" s="19"/>
      <c r="E329" s="19"/>
      <c r="F329" s="19"/>
      <c r="G329" s="58"/>
      <c r="H329" s="59"/>
      <c r="I329" s="145"/>
      <c r="J329" s="146"/>
      <c r="K329" s="20"/>
      <c r="L329" s="21">
        <f>L330</f>
        <v>1136412.1299999999</v>
      </c>
      <c r="M329" s="60">
        <f>M330</f>
        <v>1250400</v>
      </c>
      <c r="N329" s="41"/>
      <c r="O329" s="41"/>
      <c r="P329" s="41"/>
      <c r="Q329" s="41"/>
      <c r="R329" s="41"/>
      <c r="S329" s="41"/>
      <c r="T329" s="43"/>
      <c r="U329" s="41"/>
      <c r="V329" s="41"/>
      <c r="W329" s="41"/>
      <c r="X329" s="43"/>
      <c r="Y329" s="41"/>
      <c r="Z329" s="43"/>
      <c r="AA329" s="41"/>
      <c r="AB329" s="43"/>
      <c r="AC329" s="41"/>
      <c r="AD329" s="41"/>
      <c r="AE329" s="41"/>
      <c r="AF329" s="41"/>
      <c r="AG329" s="41"/>
      <c r="AH329" s="41"/>
      <c r="AI329" s="41"/>
      <c r="AJ329" s="41"/>
      <c r="AK329" s="41"/>
      <c r="AL329" s="33"/>
    </row>
    <row r="330" spans="2:40" x14ac:dyDescent="0.25">
      <c r="B330" s="19">
        <v>26101</v>
      </c>
      <c r="C330" s="19"/>
      <c r="D330" s="19"/>
      <c r="E330" s="19"/>
      <c r="F330" s="19"/>
      <c r="G330" s="58"/>
      <c r="H330" s="59"/>
      <c r="I330" s="145"/>
      <c r="J330" s="146"/>
      <c r="K330" s="20"/>
      <c r="L330" s="21">
        <f>SUM(L331:L333)</f>
        <v>1136412.1299999999</v>
      </c>
      <c r="M330" s="60">
        <v>1250400</v>
      </c>
      <c r="N330" s="41"/>
      <c r="O330" s="41"/>
      <c r="P330" s="41"/>
      <c r="Q330" s="41"/>
      <c r="R330" s="41"/>
      <c r="S330" s="41"/>
      <c r="T330" s="43"/>
      <c r="U330" s="41"/>
      <c r="V330" s="41"/>
      <c r="W330" s="41"/>
      <c r="X330" s="43"/>
      <c r="Y330" s="41"/>
      <c r="Z330" s="43"/>
      <c r="AA330" s="41"/>
      <c r="AB330" s="43"/>
      <c r="AC330" s="41"/>
      <c r="AD330" s="41"/>
      <c r="AE330" s="41"/>
      <c r="AF330" s="41"/>
      <c r="AG330" s="41"/>
      <c r="AH330" s="41"/>
      <c r="AI330" s="41"/>
      <c r="AJ330" s="41"/>
      <c r="AK330" s="41"/>
      <c r="AL330" s="33"/>
    </row>
    <row r="331" spans="2:40" ht="57.75" x14ac:dyDescent="0.25">
      <c r="B331" s="14">
        <v>26101</v>
      </c>
      <c r="C331" s="14" t="s">
        <v>307</v>
      </c>
      <c r="D331" s="49">
        <v>0</v>
      </c>
      <c r="E331" s="14">
        <v>41500</v>
      </c>
      <c r="F331" s="14" t="s">
        <v>308</v>
      </c>
      <c r="G331" s="27" t="s">
        <v>89</v>
      </c>
      <c r="H331" s="28" t="s">
        <v>43</v>
      </c>
      <c r="I331" s="143" t="s">
        <v>44</v>
      </c>
      <c r="J331" s="144"/>
      <c r="K331" s="17">
        <v>26</v>
      </c>
      <c r="L331" s="17">
        <f>E331*K331</f>
        <v>1079000</v>
      </c>
      <c r="M331" s="40"/>
      <c r="N331" s="41">
        <f t="shared" ref="N331:N333" si="236">E331/12</f>
        <v>3458.3333333333335</v>
      </c>
      <c r="O331" s="41">
        <f t="shared" ref="O331:O333" si="237">N331*K331</f>
        <v>89916.666666666672</v>
      </c>
      <c r="P331" s="41">
        <f t="shared" ref="P331:P333" si="238">E331/12</f>
        <v>3458.3333333333335</v>
      </c>
      <c r="Q331" s="41">
        <f t="shared" ref="Q331:Q333" si="239">K331*P331</f>
        <v>89916.666666666672</v>
      </c>
      <c r="R331" s="41">
        <f t="shared" ref="R331:R333" si="240">E331/12</f>
        <v>3458.3333333333335</v>
      </c>
      <c r="S331" s="41">
        <f t="shared" ref="S331:S333" si="241">K331*R331</f>
        <v>89916.666666666672</v>
      </c>
      <c r="T331" s="43">
        <f t="shared" ref="T331:T333" si="242">E331/12</f>
        <v>3458.3333333333335</v>
      </c>
      <c r="U331" s="41">
        <f t="shared" ref="U331:U333" si="243">K331*T331</f>
        <v>89916.666666666672</v>
      </c>
      <c r="V331" s="41">
        <f t="shared" ref="V331:V333" si="244">E331/12</f>
        <v>3458.3333333333335</v>
      </c>
      <c r="W331" s="41">
        <f t="shared" ref="W331:W333" si="245">K331*V331</f>
        <v>89916.666666666672</v>
      </c>
      <c r="X331" s="43">
        <f t="shared" ref="X331:X333" si="246">E331/12</f>
        <v>3458.3333333333335</v>
      </c>
      <c r="Y331" s="41">
        <f t="shared" ref="Y331:Y333" si="247">K331*X331</f>
        <v>89916.666666666672</v>
      </c>
      <c r="Z331" s="43">
        <f t="shared" ref="Z331:Z333" si="248">E331/12</f>
        <v>3458.3333333333335</v>
      </c>
      <c r="AA331" s="41">
        <f t="shared" ref="AA331:AA333" si="249">K331*Z331</f>
        <v>89916.666666666672</v>
      </c>
      <c r="AB331" s="43">
        <f t="shared" ref="AB331:AB333" si="250">E331/12</f>
        <v>3458.3333333333335</v>
      </c>
      <c r="AC331" s="41">
        <f t="shared" ref="AC331:AC333" si="251">K331*AB331</f>
        <v>89916.666666666672</v>
      </c>
      <c r="AD331" s="41">
        <f t="shared" ref="AD331:AD333" si="252">E331/12</f>
        <v>3458.3333333333335</v>
      </c>
      <c r="AE331" s="41">
        <f t="shared" ref="AE331:AE333" si="253">K331*AD331</f>
        <v>89916.666666666672</v>
      </c>
      <c r="AF331" s="41">
        <f t="shared" ref="AF331:AF333" si="254">E331/12</f>
        <v>3458.3333333333335</v>
      </c>
      <c r="AG331" s="41">
        <f t="shared" ref="AG331:AG333" si="255">K331*AF331</f>
        <v>89916.666666666672</v>
      </c>
      <c r="AH331" s="41">
        <f t="shared" ref="AH331:AH333" si="256">E331/12</f>
        <v>3458.3333333333335</v>
      </c>
      <c r="AI331" s="41">
        <f t="shared" ref="AI331:AI333" si="257">K331*AH331</f>
        <v>89916.666666666672</v>
      </c>
      <c r="AJ331" s="41">
        <f t="shared" ref="AJ331:AJ333" si="258">E331/12</f>
        <v>3458.3333333333335</v>
      </c>
      <c r="AK331" s="41">
        <f t="shared" ref="AK331:AK333" si="259">K331*AJ331</f>
        <v>89916.666666666672</v>
      </c>
      <c r="AL331" s="33">
        <f t="shared" si="162"/>
        <v>1078999.9999999998</v>
      </c>
    </row>
    <row r="332" spans="2:40" ht="57.75" x14ac:dyDescent="0.25">
      <c r="B332" s="14">
        <v>26101</v>
      </c>
      <c r="C332" s="26" t="s">
        <v>309</v>
      </c>
      <c r="D332" s="26">
        <v>0</v>
      </c>
      <c r="E332" s="26">
        <v>1</v>
      </c>
      <c r="F332" s="14" t="s">
        <v>546</v>
      </c>
      <c r="G332" s="27" t="s">
        <v>89</v>
      </c>
      <c r="H332" s="28" t="s">
        <v>43</v>
      </c>
      <c r="I332" s="143" t="s">
        <v>44</v>
      </c>
      <c r="J332" s="144"/>
      <c r="K332" s="17">
        <v>11512.13</v>
      </c>
      <c r="L332" s="17">
        <f>E332*K332</f>
        <v>11512.13</v>
      </c>
      <c r="M332" s="40"/>
      <c r="N332" s="41">
        <f t="shared" si="236"/>
        <v>8.3333333333333329E-2</v>
      </c>
      <c r="O332" s="41">
        <f t="shared" si="237"/>
        <v>959.34416666666652</v>
      </c>
      <c r="P332" s="41">
        <f t="shared" si="238"/>
        <v>8.3333333333333329E-2</v>
      </c>
      <c r="Q332" s="41">
        <f t="shared" si="239"/>
        <v>959.34416666666652</v>
      </c>
      <c r="R332" s="41">
        <f t="shared" si="240"/>
        <v>8.3333333333333329E-2</v>
      </c>
      <c r="S332" s="41">
        <f t="shared" si="241"/>
        <v>959.34416666666652</v>
      </c>
      <c r="T332" s="43">
        <f t="shared" si="242"/>
        <v>8.3333333333333329E-2</v>
      </c>
      <c r="U332" s="41">
        <f t="shared" si="243"/>
        <v>959.34416666666652</v>
      </c>
      <c r="V332" s="41">
        <f t="shared" si="244"/>
        <v>8.3333333333333329E-2</v>
      </c>
      <c r="W332" s="41">
        <f t="shared" si="245"/>
        <v>959.34416666666652</v>
      </c>
      <c r="X332" s="43">
        <f t="shared" si="246"/>
        <v>8.3333333333333329E-2</v>
      </c>
      <c r="Y332" s="41">
        <f t="shared" si="247"/>
        <v>959.34416666666652</v>
      </c>
      <c r="Z332" s="43">
        <f t="shared" si="248"/>
        <v>8.3333333333333329E-2</v>
      </c>
      <c r="AA332" s="41">
        <f t="shared" si="249"/>
        <v>959.34416666666652</v>
      </c>
      <c r="AB332" s="43">
        <f t="shared" si="250"/>
        <v>8.3333333333333329E-2</v>
      </c>
      <c r="AC332" s="41">
        <f t="shared" si="251"/>
        <v>959.34416666666652</v>
      </c>
      <c r="AD332" s="41">
        <f t="shared" si="252"/>
        <v>8.3333333333333329E-2</v>
      </c>
      <c r="AE332" s="41">
        <f t="shared" si="253"/>
        <v>959.34416666666652</v>
      </c>
      <c r="AF332" s="41">
        <f t="shared" si="254"/>
        <v>8.3333333333333329E-2</v>
      </c>
      <c r="AG332" s="41">
        <f t="shared" si="255"/>
        <v>959.34416666666652</v>
      </c>
      <c r="AH332" s="41">
        <f t="shared" si="256"/>
        <v>8.3333333333333329E-2</v>
      </c>
      <c r="AI332" s="41">
        <f t="shared" si="257"/>
        <v>959.34416666666652</v>
      </c>
      <c r="AJ332" s="41">
        <f t="shared" si="258"/>
        <v>8.3333333333333329E-2</v>
      </c>
      <c r="AK332" s="41">
        <f t="shared" si="259"/>
        <v>959.34416666666652</v>
      </c>
      <c r="AL332" s="33">
        <f t="shared" si="162"/>
        <v>11512.129999999997</v>
      </c>
    </row>
    <row r="333" spans="2:40" ht="57.75" x14ac:dyDescent="0.25">
      <c r="B333" s="14">
        <v>26101</v>
      </c>
      <c r="C333" s="14" t="s">
        <v>310</v>
      </c>
      <c r="D333" s="49">
        <v>0</v>
      </c>
      <c r="E333" s="14">
        <v>1800</v>
      </c>
      <c r="F333" s="14" t="s">
        <v>308</v>
      </c>
      <c r="G333" s="27" t="s">
        <v>89</v>
      </c>
      <c r="H333" s="28" t="s">
        <v>43</v>
      </c>
      <c r="I333" s="143" t="s">
        <v>44</v>
      </c>
      <c r="J333" s="144"/>
      <c r="K333" s="17">
        <v>25.5</v>
      </c>
      <c r="L333" s="17">
        <f>E333*K333</f>
        <v>45900</v>
      </c>
      <c r="M333" s="40"/>
      <c r="N333" s="41">
        <f t="shared" si="236"/>
        <v>150</v>
      </c>
      <c r="O333" s="41">
        <f t="shared" si="237"/>
        <v>3825</v>
      </c>
      <c r="P333" s="41">
        <f t="shared" si="238"/>
        <v>150</v>
      </c>
      <c r="Q333" s="41">
        <f t="shared" si="239"/>
        <v>3825</v>
      </c>
      <c r="R333" s="41">
        <f t="shared" si="240"/>
        <v>150</v>
      </c>
      <c r="S333" s="41">
        <f t="shared" si="241"/>
        <v>3825</v>
      </c>
      <c r="T333" s="43">
        <f t="shared" si="242"/>
        <v>150</v>
      </c>
      <c r="U333" s="41">
        <f t="shared" si="243"/>
        <v>3825</v>
      </c>
      <c r="V333" s="41">
        <f t="shared" si="244"/>
        <v>150</v>
      </c>
      <c r="W333" s="41">
        <f t="shared" si="245"/>
        <v>3825</v>
      </c>
      <c r="X333" s="43">
        <f t="shared" si="246"/>
        <v>150</v>
      </c>
      <c r="Y333" s="41">
        <f t="shared" si="247"/>
        <v>3825</v>
      </c>
      <c r="Z333" s="43">
        <f t="shared" si="248"/>
        <v>150</v>
      </c>
      <c r="AA333" s="41">
        <f t="shared" si="249"/>
        <v>3825</v>
      </c>
      <c r="AB333" s="43">
        <f t="shared" si="250"/>
        <v>150</v>
      </c>
      <c r="AC333" s="41">
        <f t="shared" si="251"/>
        <v>3825</v>
      </c>
      <c r="AD333" s="41">
        <f t="shared" si="252"/>
        <v>150</v>
      </c>
      <c r="AE333" s="41">
        <f t="shared" si="253"/>
        <v>3825</v>
      </c>
      <c r="AF333" s="41">
        <f t="shared" si="254"/>
        <v>150</v>
      </c>
      <c r="AG333" s="41">
        <f t="shared" si="255"/>
        <v>3825</v>
      </c>
      <c r="AH333" s="41">
        <f t="shared" si="256"/>
        <v>150</v>
      </c>
      <c r="AI333" s="41">
        <f t="shared" si="257"/>
        <v>3825</v>
      </c>
      <c r="AJ333" s="41">
        <f t="shared" si="258"/>
        <v>150</v>
      </c>
      <c r="AK333" s="41">
        <f t="shared" si="259"/>
        <v>3825</v>
      </c>
      <c r="AL333" s="33">
        <f t="shared" si="162"/>
        <v>45900</v>
      </c>
    </row>
    <row r="334" spans="2:40" x14ac:dyDescent="0.25">
      <c r="B334" s="19">
        <v>27000</v>
      </c>
      <c r="C334" s="19"/>
      <c r="D334" s="19"/>
      <c r="E334" s="19"/>
      <c r="F334" s="19"/>
      <c r="G334" s="58"/>
      <c r="H334" s="59"/>
      <c r="I334" s="145"/>
      <c r="J334" s="146"/>
      <c r="K334" s="20"/>
      <c r="L334" s="21">
        <f>L335+L338+L350+L356</f>
        <v>92098.559999999998</v>
      </c>
      <c r="M334" s="60">
        <f>M335+M338+M350</f>
        <v>66716.94</v>
      </c>
      <c r="N334" s="41"/>
      <c r="O334" s="41"/>
      <c r="P334" s="41"/>
      <c r="Q334" s="41"/>
      <c r="R334" s="41"/>
      <c r="S334" s="41"/>
      <c r="T334" s="43"/>
      <c r="U334" s="41"/>
      <c r="V334" s="41"/>
      <c r="W334" s="41"/>
      <c r="X334" s="43"/>
      <c r="Y334" s="41"/>
      <c r="Z334" s="43"/>
      <c r="AA334" s="41"/>
      <c r="AB334" s="43"/>
      <c r="AC334" s="41"/>
      <c r="AD334" s="41"/>
      <c r="AE334" s="41"/>
      <c r="AF334" s="41"/>
      <c r="AG334" s="41"/>
      <c r="AH334" s="41"/>
      <c r="AI334" s="41"/>
      <c r="AJ334" s="41"/>
      <c r="AK334" s="41"/>
      <c r="AL334" s="33"/>
    </row>
    <row r="335" spans="2:40" x14ac:dyDescent="0.25">
      <c r="B335" s="19">
        <v>27100</v>
      </c>
      <c r="C335" s="19"/>
      <c r="D335" s="19"/>
      <c r="E335" s="19"/>
      <c r="F335" s="19"/>
      <c r="G335" s="58"/>
      <c r="H335" s="59"/>
      <c r="I335" s="145"/>
      <c r="J335" s="146"/>
      <c r="K335" s="20"/>
      <c r="L335" s="21">
        <f>L336</f>
        <v>84524.7</v>
      </c>
      <c r="M335" s="60">
        <f>M336</f>
        <v>53711.94</v>
      </c>
      <c r="N335" s="41"/>
      <c r="O335" s="41"/>
      <c r="P335" s="41"/>
      <c r="Q335" s="41"/>
      <c r="R335" s="41"/>
      <c r="S335" s="41"/>
      <c r="T335" s="43"/>
      <c r="U335" s="41"/>
      <c r="V335" s="41"/>
      <c r="W335" s="41"/>
      <c r="X335" s="43"/>
      <c r="Y335" s="41"/>
      <c r="Z335" s="43"/>
      <c r="AA335" s="41"/>
      <c r="AB335" s="43"/>
      <c r="AC335" s="41"/>
      <c r="AD335" s="41"/>
      <c r="AE335" s="41"/>
      <c r="AF335" s="41"/>
      <c r="AG335" s="41"/>
      <c r="AH335" s="41"/>
      <c r="AI335" s="41"/>
      <c r="AJ335" s="41"/>
      <c r="AK335" s="41"/>
      <c r="AL335" s="33"/>
    </row>
    <row r="336" spans="2:40" x14ac:dyDescent="0.25">
      <c r="B336" s="19">
        <v>27106</v>
      </c>
      <c r="C336" s="19"/>
      <c r="D336" s="19"/>
      <c r="E336" s="19"/>
      <c r="F336" s="19"/>
      <c r="G336" s="58"/>
      <c r="H336" s="59"/>
      <c r="I336" s="145"/>
      <c r="J336" s="146"/>
      <c r="K336" s="20"/>
      <c r="L336" s="21">
        <f>SUM(L337:L337)</f>
        <v>84524.7</v>
      </c>
      <c r="M336" s="60">
        <v>53711.94</v>
      </c>
      <c r="N336" s="41"/>
      <c r="O336" s="41"/>
      <c r="P336" s="41"/>
      <c r="Q336" s="41"/>
      <c r="R336" s="41"/>
      <c r="S336" s="41"/>
      <c r="T336" s="43"/>
      <c r="U336" s="41"/>
      <c r="V336" s="41"/>
      <c r="W336" s="41"/>
      <c r="X336" s="43"/>
      <c r="Y336" s="41"/>
      <c r="Z336" s="43"/>
      <c r="AA336" s="41"/>
      <c r="AB336" s="43"/>
      <c r="AC336" s="41"/>
      <c r="AD336" s="41"/>
      <c r="AE336" s="41"/>
      <c r="AF336" s="41"/>
      <c r="AG336" s="41"/>
      <c r="AH336" s="41"/>
      <c r="AI336" s="41"/>
      <c r="AJ336" s="41"/>
      <c r="AK336" s="41"/>
      <c r="AL336" s="33"/>
    </row>
    <row r="337" spans="2:38" ht="57.75" x14ac:dyDescent="0.25">
      <c r="B337" s="49">
        <v>27106</v>
      </c>
      <c r="C337" s="26" t="s">
        <v>311</v>
      </c>
      <c r="D337" s="26">
        <v>0</v>
      </c>
      <c r="E337" s="26">
        <v>1</v>
      </c>
      <c r="F337" s="49" t="s">
        <v>546</v>
      </c>
      <c r="G337" s="64" t="s">
        <v>89</v>
      </c>
      <c r="H337" s="28" t="s">
        <v>43</v>
      </c>
      <c r="I337" s="143" t="s">
        <v>44</v>
      </c>
      <c r="J337" s="144"/>
      <c r="K337" s="50">
        <v>84524.7</v>
      </c>
      <c r="L337" s="50">
        <f>E337*K337</f>
        <v>84524.7</v>
      </c>
      <c r="M337" s="51"/>
      <c r="N337" s="41"/>
      <c r="O337" s="41"/>
      <c r="P337" s="41">
        <v>50</v>
      </c>
      <c r="Q337" s="41">
        <f t="shared" ref="Q337" si="260">K337*P337</f>
        <v>4226235</v>
      </c>
      <c r="R337" s="41"/>
      <c r="S337" s="41"/>
      <c r="T337" s="43">
        <v>50</v>
      </c>
      <c r="U337" s="41">
        <f t="shared" ref="U337" si="261">K337*T337</f>
        <v>4226235</v>
      </c>
      <c r="V337" s="41">
        <v>0</v>
      </c>
      <c r="W337" s="41">
        <v>0</v>
      </c>
      <c r="X337" s="43">
        <v>50</v>
      </c>
      <c r="Y337" s="41">
        <f t="shared" ref="Y337" si="262">K337*X337</f>
        <v>4226235</v>
      </c>
      <c r="Z337" s="43">
        <v>50</v>
      </c>
      <c r="AA337" s="41">
        <f t="shared" ref="AA337" si="263">K337*Z337</f>
        <v>4226235</v>
      </c>
      <c r="AB337" s="43">
        <v>0</v>
      </c>
      <c r="AC337" s="41">
        <v>0</v>
      </c>
      <c r="AD337" s="41">
        <v>38</v>
      </c>
      <c r="AE337" s="41">
        <f t="shared" ref="AE337" si="264">K337*AD337</f>
        <v>3211938.6</v>
      </c>
      <c r="AF337" s="41">
        <v>0</v>
      </c>
      <c r="AG337" s="41">
        <f t="shared" ref="AG337" si="265">K337*AF337</f>
        <v>0</v>
      </c>
      <c r="AH337" s="41">
        <v>0</v>
      </c>
      <c r="AI337" s="41">
        <f t="shared" ref="AI337" si="266">K337*AH337</f>
        <v>0</v>
      </c>
      <c r="AJ337" s="41">
        <v>0</v>
      </c>
      <c r="AK337" s="41">
        <f t="shared" ref="AK337" si="267">K337*AJ337</f>
        <v>0</v>
      </c>
      <c r="AL337" s="33">
        <f t="shared" si="162"/>
        <v>20116878.600000001</v>
      </c>
    </row>
    <row r="338" spans="2:38" x14ac:dyDescent="0.25">
      <c r="B338" s="19">
        <v>27200</v>
      </c>
      <c r="C338" s="19"/>
      <c r="D338" s="19"/>
      <c r="E338" s="19"/>
      <c r="F338" s="19"/>
      <c r="G338" s="58"/>
      <c r="H338" s="59"/>
      <c r="I338" s="145"/>
      <c r="J338" s="146"/>
      <c r="K338" s="20"/>
      <c r="L338" s="21">
        <f>+L339+L340+L341+L344+L346+L348</f>
        <v>2853</v>
      </c>
      <c r="M338" s="60">
        <f>M341+M344+M346</f>
        <v>11003</v>
      </c>
      <c r="N338" s="41"/>
      <c r="O338" s="41"/>
      <c r="P338" s="41"/>
      <c r="Q338" s="41"/>
      <c r="R338" s="41"/>
      <c r="S338" s="41"/>
      <c r="T338" s="43"/>
      <c r="U338" s="41"/>
      <c r="V338" s="41"/>
      <c r="W338" s="41"/>
      <c r="X338" s="43"/>
      <c r="Y338" s="41"/>
      <c r="Z338" s="43"/>
      <c r="AA338" s="41"/>
      <c r="AB338" s="43"/>
      <c r="AC338" s="41"/>
      <c r="AD338" s="41"/>
      <c r="AE338" s="41"/>
      <c r="AF338" s="41"/>
      <c r="AG338" s="41"/>
      <c r="AH338" s="41"/>
      <c r="AI338" s="41"/>
      <c r="AJ338" s="41"/>
      <c r="AK338" s="41"/>
      <c r="AL338" s="33"/>
    </row>
    <row r="339" spans="2:38" ht="57.75" x14ac:dyDescent="0.25">
      <c r="B339" s="26">
        <v>27201</v>
      </c>
      <c r="C339" s="26" t="s">
        <v>552</v>
      </c>
      <c r="D339" s="26"/>
      <c r="E339" s="26">
        <v>1</v>
      </c>
      <c r="F339" s="26" t="s">
        <v>49</v>
      </c>
      <c r="G339" s="64" t="s">
        <v>89</v>
      </c>
      <c r="H339" s="28" t="s">
        <v>43</v>
      </c>
      <c r="I339" s="143" t="s">
        <v>44</v>
      </c>
      <c r="J339" s="144"/>
      <c r="K339" s="81">
        <v>1</v>
      </c>
      <c r="L339" s="81">
        <f>+E339*K339</f>
        <v>1</v>
      </c>
      <c r="M339" s="44"/>
      <c r="N339" s="41"/>
      <c r="O339" s="41"/>
      <c r="P339" s="41"/>
      <c r="Q339" s="41"/>
      <c r="R339" s="41"/>
      <c r="S339" s="41"/>
      <c r="T339" s="43"/>
      <c r="U339" s="41"/>
      <c r="V339" s="41"/>
      <c r="W339" s="41"/>
      <c r="X339" s="43"/>
      <c r="Y339" s="41"/>
      <c r="Z339" s="43"/>
      <c r="AA339" s="41"/>
      <c r="AB339" s="43"/>
      <c r="AC339" s="41"/>
      <c r="AD339" s="41"/>
      <c r="AE339" s="41"/>
      <c r="AF339" s="41"/>
      <c r="AG339" s="41"/>
      <c r="AH339" s="41"/>
      <c r="AI339" s="41"/>
      <c r="AJ339" s="41"/>
      <c r="AK339" s="41"/>
      <c r="AL339" s="33"/>
    </row>
    <row r="340" spans="2:38" ht="57.75" x14ac:dyDescent="0.25">
      <c r="B340" s="26">
        <v>27202</v>
      </c>
      <c r="C340" s="26" t="s">
        <v>553</v>
      </c>
      <c r="D340" s="26"/>
      <c r="E340" s="26">
        <v>1</v>
      </c>
      <c r="F340" s="26" t="s">
        <v>49</v>
      </c>
      <c r="G340" s="64" t="s">
        <v>89</v>
      </c>
      <c r="H340" s="28" t="s">
        <v>43</v>
      </c>
      <c r="I340" s="143" t="s">
        <v>44</v>
      </c>
      <c r="J340" s="144"/>
      <c r="K340" s="81">
        <v>1</v>
      </c>
      <c r="L340" s="81">
        <f>+E340*K340</f>
        <v>1</v>
      </c>
      <c r="M340" s="44"/>
      <c r="N340" s="41"/>
      <c r="O340" s="41"/>
      <c r="P340" s="41"/>
      <c r="Q340" s="41"/>
      <c r="R340" s="41"/>
      <c r="S340" s="41"/>
      <c r="T340" s="43"/>
      <c r="U340" s="41"/>
      <c r="V340" s="41"/>
      <c r="W340" s="41"/>
      <c r="X340" s="43"/>
      <c r="Y340" s="41"/>
      <c r="Z340" s="43"/>
      <c r="AA340" s="41"/>
      <c r="AB340" s="43"/>
      <c r="AC340" s="41"/>
      <c r="AD340" s="41"/>
      <c r="AE340" s="41"/>
      <c r="AF340" s="41"/>
      <c r="AG340" s="41"/>
      <c r="AH340" s="41"/>
      <c r="AI340" s="41"/>
      <c r="AJ340" s="41"/>
      <c r="AK340" s="41"/>
      <c r="AL340" s="33"/>
    </row>
    <row r="341" spans="2:38" x14ac:dyDescent="0.25">
      <c r="B341" s="19">
        <v>27203</v>
      </c>
      <c r="C341" s="19"/>
      <c r="D341" s="19"/>
      <c r="E341" s="19"/>
      <c r="F341" s="19"/>
      <c r="G341" s="58"/>
      <c r="H341" s="59"/>
      <c r="I341" s="145"/>
      <c r="J341" s="146"/>
      <c r="K341" s="20"/>
      <c r="L341" s="21">
        <f>SUM(L342:L343)</f>
        <v>2000</v>
      </c>
      <c r="M341" s="44">
        <v>1003</v>
      </c>
      <c r="N341" s="41"/>
      <c r="O341" s="41"/>
      <c r="P341" s="41"/>
      <c r="Q341" s="41"/>
      <c r="R341" s="41"/>
      <c r="S341" s="41"/>
      <c r="T341" s="43"/>
      <c r="U341" s="41"/>
      <c r="V341" s="41"/>
      <c r="W341" s="41"/>
      <c r="X341" s="43"/>
      <c r="Y341" s="41"/>
      <c r="Z341" s="43"/>
      <c r="AA341" s="41"/>
      <c r="AB341" s="43"/>
      <c r="AC341" s="41"/>
      <c r="AD341" s="41"/>
      <c r="AE341" s="41"/>
      <c r="AF341" s="41"/>
      <c r="AG341" s="41"/>
      <c r="AH341" s="41"/>
      <c r="AI341" s="41"/>
      <c r="AJ341" s="41"/>
      <c r="AK341" s="41"/>
      <c r="AL341" s="33"/>
    </row>
    <row r="342" spans="2:38" ht="57.75" x14ac:dyDescent="0.25">
      <c r="B342" s="49">
        <v>27203</v>
      </c>
      <c r="C342" s="49" t="s">
        <v>312</v>
      </c>
      <c r="D342" s="49">
        <v>0</v>
      </c>
      <c r="E342" s="49">
        <v>6</v>
      </c>
      <c r="F342" s="49" t="s">
        <v>49</v>
      </c>
      <c r="G342" s="64" t="s">
        <v>282</v>
      </c>
      <c r="H342" s="28" t="s">
        <v>43</v>
      </c>
      <c r="I342" s="143" t="s">
        <v>44</v>
      </c>
      <c r="J342" s="144"/>
      <c r="K342" s="50">
        <v>204</v>
      </c>
      <c r="L342" s="50">
        <f>E342*K342</f>
        <v>1224</v>
      </c>
      <c r="M342" s="51"/>
      <c r="N342" s="41"/>
      <c r="O342" s="41"/>
      <c r="P342" s="41"/>
      <c r="Q342" s="41"/>
      <c r="R342" s="41">
        <v>3</v>
      </c>
      <c r="S342" s="41">
        <f t="shared" ref="S342:S343" si="268">K342*R342</f>
        <v>612</v>
      </c>
      <c r="T342" s="43"/>
      <c r="U342" s="41"/>
      <c r="V342" s="41"/>
      <c r="W342" s="41"/>
      <c r="X342" s="43">
        <v>3</v>
      </c>
      <c r="Y342" s="41">
        <f t="shared" ref="Y342:Y343" si="269">K342*X342</f>
        <v>612</v>
      </c>
      <c r="Z342" s="43"/>
      <c r="AA342" s="41"/>
      <c r="AB342" s="43"/>
      <c r="AC342" s="41"/>
      <c r="AD342" s="41"/>
      <c r="AE342" s="41"/>
      <c r="AF342" s="41"/>
      <c r="AG342" s="41"/>
      <c r="AH342" s="41"/>
      <c r="AI342" s="41"/>
      <c r="AJ342" s="41"/>
      <c r="AK342" s="41"/>
      <c r="AL342" s="33">
        <f t="shared" si="162"/>
        <v>1224</v>
      </c>
    </row>
    <row r="343" spans="2:38" ht="57.75" x14ac:dyDescent="0.25">
      <c r="B343" s="14">
        <v>27203</v>
      </c>
      <c r="C343" s="26" t="s">
        <v>313</v>
      </c>
      <c r="D343" s="26">
        <v>0</v>
      </c>
      <c r="E343" s="26">
        <v>1</v>
      </c>
      <c r="F343" s="14" t="s">
        <v>546</v>
      </c>
      <c r="G343" s="27" t="s">
        <v>282</v>
      </c>
      <c r="H343" s="28" t="s">
        <v>43</v>
      </c>
      <c r="I343" s="143" t="s">
        <v>44</v>
      </c>
      <c r="J343" s="144"/>
      <c r="K343" s="17">
        <v>776</v>
      </c>
      <c r="L343" s="17">
        <f>E343*K343</f>
        <v>776</v>
      </c>
      <c r="M343" s="40"/>
      <c r="N343" s="41"/>
      <c r="O343" s="41"/>
      <c r="P343" s="41"/>
      <c r="Q343" s="41"/>
      <c r="R343" s="41">
        <v>3</v>
      </c>
      <c r="S343" s="41">
        <f t="shared" si="268"/>
        <v>2328</v>
      </c>
      <c r="T343" s="43"/>
      <c r="U343" s="41"/>
      <c r="V343" s="41"/>
      <c r="W343" s="41"/>
      <c r="X343" s="43">
        <v>3</v>
      </c>
      <c r="Y343" s="41">
        <f t="shared" si="269"/>
        <v>2328</v>
      </c>
      <c r="Z343" s="43"/>
      <c r="AA343" s="41"/>
      <c r="AB343" s="43"/>
      <c r="AC343" s="41"/>
      <c r="AD343" s="41"/>
      <c r="AE343" s="41"/>
      <c r="AF343" s="41"/>
      <c r="AG343" s="41"/>
      <c r="AH343" s="41"/>
      <c r="AI343" s="41"/>
      <c r="AJ343" s="41"/>
      <c r="AK343" s="41"/>
      <c r="AL343" s="33">
        <f t="shared" si="162"/>
        <v>4656</v>
      </c>
    </row>
    <row r="344" spans="2:38" x14ac:dyDescent="0.25">
      <c r="B344" s="19">
        <v>27204</v>
      </c>
      <c r="C344" s="19"/>
      <c r="D344" s="19"/>
      <c r="E344" s="19"/>
      <c r="F344" s="19"/>
      <c r="G344" s="58"/>
      <c r="H344" s="68"/>
      <c r="I344" s="145"/>
      <c r="J344" s="146"/>
      <c r="K344" s="20"/>
      <c r="L344" s="21">
        <f>SUM(L345:L345)</f>
        <v>1</v>
      </c>
      <c r="M344" s="44">
        <v>5000</v>
      </c>
      <c r="N344" s="41"/>
      <c r="O344" s="41"/>
      <c r="P344" s="41"/>
      <c r="Q344" s="41"/>
      <c r="R344" s="41"/>
      <c r="S344" s="41"/>
      <c r="T344" s="43"/>
      <c r="U344" s="41"/>
      <c r="V344" s="41"/>
      <c r="W344" s="41"/>
      <c r="X344" s="43"/>
      <c r="Y344" s="41"/>
      <c r="Z344" s="43"/>
      <c r="AA344" s="41"/>
      <c r="AB344" s="43"/>
      <c r="AC344" s="41"/>
      <c r="AD344" s="41"/>
      <c r="AE344" s="41"/>
      <c r="AF344" s="41"/>
      <c r="AG344" s="41"/>
      <c r="AH344" s="41"/>
      <c r="AI344" s="41"/>
      <c r="AJ344" s="41"/>
      <c r="AK344" s="41"/>
      <c r="AL344" s="33"/>
    </row>
    <row r="345" spans="2:38" ht="57.75" x14ac:dyDescent="0.25">
      <c r="B345" s="49">
        <v>27204</v>
      </c>
      <c r="C345" s="49" t="s">
        <v>314</v>
      </c>
      <c r="D345" s="49">
        <v>0</v>
      </c>
      <c r="E345" s="49">
        <v>1</v>
      </c>
      <c r="F345" s="49" t="s">
        <v>41</v>
      </c>
      <c r="G345" s="64" t="s">
        <v>282</v>
      </c>
      <c r="H345" s="28" t="s">
        <v>43</v>
      </c>
      <c r="I345" s="143" t="s">
        <v>44</v>
      </c>
      <c r="J345" s="144"/>
      <c r="K345" s="50">
        <v>1</v>
      </c>
      <c r="L345" s="50">
        <f>E345*K345</f>
        <v>1</v>
      </c>
      <c r="M345" s="51"/>
      <c r="N345" s="41"/>
      <c r="O345" s="41"/>
      <c r="P345" s="41"/>
      <c r="Q345" s="41"/>
      <c r="R345" s="41">
        <v>1</v>
      </c>
      <c r="S345" s="41">
        <f t="shared" ref="S345" si="270">K345*R345</f>
        <v>1</v>
      </c>
      <c r="T345" s="43"/>
      <c r="U345" s="41"/>
      <c r="V345" s="41"/>
      <c r="W345" s="41"/>
      <c r="X345" s="43"/>
      <c r="Y345" s="41"/>
      <c r="Z345" s="43"/>
      <c r="AA345" s="41"/>
      <c r="AB345" s="43"/>
      <c r="AC345" s="41"/>
      <c r="AD345" s="41"/>
      <c r="AE345" s="41"/>
      <c r="AF345" s="41"/>
      <c r="AG345" s="41"/>
      <c r="AH345" s="41"/>
      <c r="AI345" s="41"/>
      <c r="AJ345" s="41"/>
      <c r="AK345" s="41"/>
      <c r="AL345" s="33">
        <f t="shared" si="162"/>
        <v>1</v>
      </c>
    </row>
    <row r="346" spans="2:38" x14ac:dyDescent="0.25">
      <c r="B346" s="19">
        <v>27205</v>
      </c>
      <c r="C346" s="19"/>
      <c r="D346" s="19"/>
      <c r="E346" s="19"/>
      <c r="F346" s="19"/>
      <c r="G346" s="58"/>
      <c r="H346" s="68"/>
      <c r="I346" s="145"/>
      <c r="J346" s="146"/>
      <c r="K346" s="20"/>
      <c r="L346" s="21">
        <f>SUM(L347:L347)</f>
        <v>849</v>
      </c>
      <c r="M346" s="44">
        <v>5000</v>
      </c>
      <c r="N346" s="41"/>
      <c r="O346" s="41"/>
      <c r="P346" s="41"/>
      <c r="Q346" s="41"/>
      <c r="R346" s="41"/>
      <c r="S346" s="41"/>
      <c r="T346" s="43"/>
      <c r="U346" s="41"/>
      <c r="V346" s="41"/>
      <c r="W346" s="41"/>
      <c r="X346" s="43"/>
      <c r="Y346" s="41"/>
      <c r="Z346" s="43"/>
      <c r="AA346" s="41"/>
      <c r="AB346" s="43"/>
      <c r="AC346" s="41"/>
      <c r="AD346" s="41"/>
      <c r="AE346" s="41"/>
      <c r="AF346" s="41"/>
      <c r="AG346" s="41"/>
      <c r="AH346" s="41"/>
      <c r="AI346" s="41"/>
      <c r="AJ346" s="41"/>
      <c r="AK346" s="41"/>
      <c r="AL346" s="33"/>
    </row>
    <row r="347" spans="2:38" ht="57.75" x14ac:dyDescent="0.25">
      <c r="B347" s="14">
        <v>27205</v>
      </c>
      <c r="C347" s="26" t="s">
        <v>315</v>
      </c>
      <c r="D347" s="26">
        <v>0</v>
      </c>
      <c r="E347" s="26">
        <v>1</v>
      </c>
      <c r="F347" s="14" t="s">
        <v>316</v>
      </c>
      <c r="G347" s="27" t="s">
        <v>282</v>
      </c>
      <c r="H347" s="28" t="s">
        <v>43</v>
      </c>
      <c r="I347" s="143" t="s">
        <v>44</v>
      </c>
      <c r="J347" s="144"/>
      <c r="K347" s="17">
        <v>849</v>
      </c>
      <c r="L347" s="17">
        <f t="shared" ref="L347" si="271">E347*K347</f>
        <v>849</v>
      </c>
      <c r="M347" s="40"/>
      <c r="N347" s="41"/>
      <c r="O347" s="41"/>
      <c r="P347" s="41"/>
      <c r="Q347" s="41"/>
      <c r="R347" s="41"/>
      <c r="S347" s="41"/>
      <c r="T347" s="43">
        <v>8</v>
      </c>
      <c r="U347" s="41">
        <f t="shared" ref="U347" si="272">K347*T347</f>
        <v>6792</v>
      </c>
      <c r="V347" s="41"/>
      <c r="W347" s="41"/>
      <c r="X347" s="43"/>
      <c r="Y347" s="41"/>
      <c r="Z347" s="43"/>
      <c r="AA347" s="41"/>
      <c r="AB347" s="43"/>
      <c r="AC347" s="41"/>
      <c r="AD347" s="41">
        <v>7</v>
      </c>
      <c r="AE347" s="41">
        <f t="shared" ref="AE347" si="273">K347*AD347</f>
        <v>5943</v>
      </c>
      <c r="AF347" s="41"/>
      <c r="AG347" s="41"/>
      <c r="AH347" s="41"/>
      <c r="AI347" s="41"/>
      <c r="AJ347" s="41"/>
      <c r="AK347" s="41"/>
      <c r="AL347" s="33">
        <f t="shared" si="162"/>
        <v>12735</v>
      </c>
    </row>
    <row r="348" spans="2:38" x14ac:dyDescent="0.25">
      <c r="B348" s="19">
        <v>27206</v>
      </c>
      <c r="C348" s="19"/>
      <c r="D348" s="19"/>
      <c r="E348" s="19"/>
      <c r="F348" s="19"/>
      <c r="G348" s="58"/>
      <c r="H348" s="68"/>
      <c r="I348" s="145"/>
      <c r="J348" s="146"/>
      <c r="K348" s="20"/>
      <c r="L348" s="21">
        <f>SUM(L349:L349)</f>
        <v>1</v>
      </c>
      <c r="M348" s="44">
        <v>5000</v>
      </c>
      <c r="N348" s="41"/>
      <c r="O348" s="41"/>
      <c r="P348" s="41"/>
      <c r="Q348" s="41"/>
      <c r="R348" s="41"/>
      <c r="S348" s="41"/>
      <c r="T348" s="43"/>
      <c r="U348" s="41"/>
      <c r="V348" s="41"/>
      <c r="W348" s="41"/>
      <c r="X348" s="43"/>
      <c r="Y348" s="41"/>
      <c r="Z348" s="43"/>
      <c r="AA348" s="41"/>
      <c r="AB348" s="43"/>
      <c r="AC348" s="41"/>
      <c r="AD348" s="41"/>
      <c r="AE348" s="41"/>
      <c r="AF348" s="41"/>
      <c r="AG348" s="41"/>
      <c r="AH348" s="41"/>
      <c r="AI348" s="41"/>
      <c r="AJ348" s="41"/>
      <c r="AK348" s="41"/>
      <c r="AL348" s="33"/>
    </row>
    <row r="349" spans="2:38" ht="57.75" x14ac:dyDescent="0.25">
      <c r="B349" s="14">
        <v>27206</v>
      </c>
      <c r="C349" s="26" t="s">
        <v>505</v>
      </c>
      <c r="D349" s="26">
        <v>0</v>
      </c>
      <c r="E349" s="26">
        <v>1</v>
      </c>
      <c r="F349" s="14" t="s">
        <v>316</v>
      </c>
      <c r="G349" s="27" t="s">
        <v>282</v>
      </c>
      <c r="H349" s="28" t="s">
        <v>43</v>
      </c>
      <c r="I349" s="143" t="s">
        <v>44</v>
      </c>
      <c r="J349" s="144"/>
      <c r="K349" s="17">
        <v>1</v>
      </c>
      <c r="L349" s="17">
        <f t="shared" ref="L349" si="274">E349*K349</f>
        <v>1</v>
      </c>
      <c r="M349" s="40"/>
      <c r="N349" s="41"/>
      <c r="O349" s="41"/>
      <c r="P349" s="41"/>
      <c r="Q349" s="41"/>
      <c r="R349" s="41"/>
      <c r="S349" s="41"/>
      <c r="T349" s="43">
        <v>8</v>
      </c>
      <c r="U349" s="41">
        <f t="shared" ref="U349" si="275">K349*T349</f>
        <v>8</v>
      </c>
      <c r="V349" s="41"/>
      <c r="W349" s="41"/>
      <c r="X349" s="43"/>
      <c r="Y349" s="41"/>
      <c r="Z349" s="43"/>
      <c r="AA349" s="41"/>
      <c r="AB349" s="43"/>
      <c r="AC349" s="41"/>
      <c r="AD349" s="41">
        <v>7</v>
      </c>
      <c r="AE349" s="41">
        <f t="shared" ref="AE349" si="276">K349*AD349</f>
        <v>7</v>
      </c>
      <c r="AF349" s="41"/>
      <c r="AG349" s="41"/>
      <c r="AH349" s="41"/>
      <c r="AI349" s="41"/>
      <c r="AJ349" s="41"/>
      <c r="AK349" s="41"/>
      <c r="AL349" s="33">
        <f t="shared" ref="AL349" si="277">O349+Q349+S349+U349+W349+Y349+AA349+AC349+AE349+AG349+AI349+AK349</f>
        <v>15</v>
      </c>
    </row>
    <row r="350" spans="2:38" x14ac:dyDescent="0.25">
      <c r="B350" s="19">
        <v>27400</v>
      </c>
      <c r="C350" s="19"/>
      <c r="D350" s="19"/>
      <c r="E350" s="19"/>
      <c r="F350" s="19"/>
      <c r="G350" s="58"/>
      <c r="H350" s="59"/>
      <c r="I350" s="145"/>
      <c r="J350" s="146"/>
      <c r="K350" s="20"/>
      <c r="L350" s="21">
        <f>L351</f>
        <v>4718.8600000000006</v>
      </c>
      <c r="M350" s="60">
        <f>M351</f>
        <v>2002</v>
      </c>
      <c r="N350" s="41"/>
      <c r="O350" s="41"/>
      <c r="P350" s="41"/>
      <c r="Q350" s="41"/>
      <c r="R350" s="41"/>
      <c r="S350" s="41"/>
      <c r="T350" s="43"/>
      <c r="U350" s="41"/>
      <c r="V350" s="41"/>
      <c r="W350" s="41"/>
      <c r="X350" s="43"/>
      <c r="Y350" s="41"/>
      <c r="Z350" s="43"/>
      <c r="AA350" s="41"/>
      <c r="AB350" s="43"/>
      <c r="AC350" s="41"/>
      <c r="AD350" s="41"/>
      <c r="AE350" s="41"/>
      <c r="AF350" s="41"/>
      <c r="AG350" s="41"/>
      <c r="AH350" s="41"/>
      <c r="AI350" s="41"/>
      <c r="AJ350" s="41"/>
      <c r="AK350" s="41"/>
      <c r="AL350" s="33"/>
    </row>
    <row r="351" spans="2:38" x14ac:dyDescent="0.25">
      <c r="B351" s="19">
        <v>27401</v>
      </c>
      <c r="C351" s="19"/>
      <c r="D351" s="19"/>
      <c r="E351" s="19"/>
      <c r="F351" s="19"/>
      <c r="G351" s="58"/>
      <c r="H351" s="59"/>
      <c r="I351" s="145"/>
      <c r="J351" s="146"/>
      <c r="K351" s="20"/>
      <c r="L351" s="21">
        <f>SUM(L352:L355)</f>
        <v>4718.8600000000006</v>
      </c>
      <c r="M351" s="44">
        <v>2002</v>
      </c>
      <c r="N351" s="41"/>
      <c r="O351" s="41"/>
      <c r="P351" s="41"/>
      <c r="Q351" s="41"/>
      <c r="R351" s="41"/>
      <c r="S351" s="41"/>
      <c r="T351" s="43"/>
      <c r="U351" s="41"/>
      <c r="V351" s="41"/>
      <c r="W351" s="41"/>
      <c r="X351" s="43"/>
      <c r="Y351" s="41"/>
      <c r="Z351" s="43"/>
      <c r="AA351" s="41"/>
      <c r="AB351" s="43"/>
      <c r="AC351" s="41"/>
      <c r="AD351" s="41"/>
      <c r="AE351" s="41"/>
      <c r="AF351" s="41"/>
      <c r="AG351" s="41"/>
      <c r="AH351" s="41"/>
      <c r="AI351" s="41"/>
      <c r="AJ351" s="41"/>
      <c r="AK351" s="41"/>
      <c r="AL351" s="33"/>
    </row>
    <row r="352" spans="2:38" ht="57.75" x14ac:dyDescent="0.25">
      <c r="B352" s="49">
        <v>27401</v>
      </c>
      <c r="C352" s="26" t="s">
        <v>317</v>
      </c>
      <c r="D352" s="26">
        <v>0</v>
      </c>
      <c r="E352" s="26">
        <v>1</v>
      </c>
      <c r="F352" s="49" t="s">
        <v>546</v>
      </c>
      <c r="G352" s="64" t="s">
        <v>282</v>
      </c>
      <c r="H352" s="28" t="s">
        <v>43</v>
      </c>
      <c r="I352" s="143" t="s">
        <v>44</v>
      </c>
      <c r="J352" s="144"/>
      <c r="K352" s="50">
        <v>3978.86</v>
      </c>
      <c r="L352" s="50">
        <f>E352*K352</f>
        <v>3978.86</v>
      </c>
      <c r="M352" s="51"/>
      <c r="N352" s="41"/>
      <c r="O352" s="41"/>
      <c r="P352" s="41"/>
      <c r="Q352" s="41"/>
      <c r="R352" s="41">
        <v>2</v>
      </c>
      <c r="S352" s="41">
        <f t="shared" ref="S352:S355" si="278">K352*R352</f>
        <v>7957.72</v>
      </c>
      <c r="T352" s="43"/>
      <c r="U352" s="41"/>
      <c r="V352" s="41"/>
      <c r="W352" s="41"/>
      <c r="X352" s="43"/>
      <c r="Y352" s="41"/>
      <c r="Z352" s="43"/>
      <c r="AA352" s="41"/>
      <c r="AB352" s="43"/>
      <c r="AC352" s="41"/>
      <c r="AD352" s="41"/>
      <c r="AE352" s="41"/>
      <c r="AF352" s="41"/>
      <c r="AG352" s="41"/>
      <c r="AH352" s="41"/>
      <c r="AI352" s="41"/>
      <c r="AJ352" s="41"/>
      <c r="AK352" s="41"/>
      <c r="AL352" s="33">
        <f t="shared" si="162"/>
        <v>7957.72</v>
      </c>
    </row>
    <row r="353" spans="2:38" ht="57.75" x14ac:dyDescent="0.25">
      <c r="B353" s="49">
        <v>27401</v>
      </c>
      <c r="C353" s="49" t="s">
        <v>319</v>
      </c>
      <c r="D353" s="49">
        <v>0</v>
      </c>
      <c r="E353" s="49">
        <v>10</v>
      </c>
      <c r="F353" s="49" t="s">
        <v>318</v>
      </c>
      <c r="G353" s="64" t="s">
        <v>282</v>
      </c>
      <c r="H353" s="28" t="s">
        <v>43</v>
      </c>
      <c r="I353" s="143" t="s">
        <v>44</v>
      </c>
      <c r="J353" s="144"/>
      <c r="K353" s="50">
        <v>3</v>
      </c>
      <c r="L353" s="50">
        <f>E353*K353</f>
        <v>30</v>
      </c>
      <c r="M353" s="51"/>
      <c r="N353" s="41"/>
      <c r="O353" s="41"/>
      <c r="P353" s="41"/>
      <c r="Q353" s="41"/>
      <c r="R353" s="41">
        <v>10</v>
      </c>
      <c r="S353" s="41">
        <f t="shared" si="278"/>
        <v>30</v>
      </c>
      <c r="T353" s="43"/>
      <c r="U353" s="41"/>
      <c r="V353" s="41"/>
      <c r="W353" s="41"/>
      <c r="X353" s="43"/>
      <c r="Y353" s="41"/>
      <c r="Z353" s="43"/>
      <c r="AA353" s="41"/>
      <c r="AB353" s="43"/>
      <c r="AC353" s="41"/>
      <c r="AD353" s="41"/>
      <c r="AE353" s="41"/>
      <c r="AF353" s="41"/>
      <c r="AG353" s="41"/>
      <c r="AH353" s="41"/>
      <c r="AI353" s="41"/>
      <c r="AJ353" s="41"/>
      <c r="AK353" s="41"/>
      <c r="AL353" s="33">
        <f t="shared" si="162"/>
        <v>30</v>
      </c>
    </row>
    <row r="354" spans="2:38" ht="57.75" x14ac:dyDescent="0.25">
      <c r="B354" s="49">
        <v>27401</v>
      </c>
      <c r="C354" s="49" t="s">
        <v>320</v>
      </c>
      <c r="D354" s="49">
        <v>0</v>
      </c>
      <c r="E354" s="49">
        <v>2</v>
      </c>
      <c r="F354" s="49" t="s">
        <v>321</v>
      </c>
      <c r="G354" s="64" t="s">
        <v>282</v>
      </c>
      <c r="H354" s="28" t="s">
        <v>43</v>
      </c>
      <c r="I354" s="143" t="s">
        <v>44</v>
      </c>
      <c r="J354" s="144"/>
      <c r="K354" s="50">
        <v>225</v>
      </c>
      <c r="L354" s="50">
        <f>E354*K354</f>
        <v>450</v>
      </c>
      <c r="M354" s="51"/>
      <c r="N354" s="41"/>
      <c r="O354" s="41"/>
      <c r="P354" s="41"/>
      <c r="Q354" s="41"/>
      <c r="R354" s="41">
        <v>2</v>
      </c>
      <c r="S354" s="41">
        <f t="shared" si="278"/>
        <v>450</v>
      </c>
      <c r="T354" s="43"/>
      <c r="U354" s="41"/>
      <c r="V354" s="41"/>
      <c r="W354" s="41"/>
      <c r="X354" s="43"/>
      <c r="Y354" s="41"/>
      <c r="Z354" s="43"/>
      <c r="AA354" s="41"/>
      <c r="AB354" s="43"/>
      <c r="AC354" s="41"/>
      <c r="AD354" s="41"/>
      <c r="AE354" s="41"/>
      <c r="AF354" s="41"/>
      <c r="AG354" s="41"/>
      <c r="AH354" s="41"/>
      <c r="AI354" s="41"/>
      <c r="AJ354" s="41"/>
      <c r="AK354" s="41"/>
      <c r="AL354" s="33">
        <f t="shared" si="162"/>
        <v>450</v>
      </c>
    </row>
    <row r="355" spans="2:38" ht="57.75" x14ac:dyDescent="0.25">
      <c r="B355" s="14">
        <v>27401</v>
      </c>
      <c r="C355" s="14" t="s">
        <v>322</v>
      </c>
      <c r="D355" s="49">
        <v>0</v>
      </c>
      <c r="E355" s="14">
        <v>4</v>
      </c>
      <c r="F355" s="14" t="s">
        <v>318</v>
      </c>
      <c r="G355" s="27" t="s">
        <v>282</v>
      </c>
      <c r="H355" s="28" t="s">
        <v>43</v>
      </c>
      <c r="I355" s="143" t="s">
        <v>44</v>
      </c>
      <c r="J355" s="144"/>
      <c r="K355" s="17">
        <v>65</v>
      </c>
      <c r="L355" s="17">
        <f>E355*K355</f>
        <v>260</v>
      </c>
      <c r="M355" s="40"/>
      <c r="N355" s="41"/>
      <c r="O355" s="41"/>
      <c r="P355" s="41"/>
      <c r="Q355" s="41"/>
      <c r="R355" s="41">
        <v>4</v>
      </c>
      <c r="S355" s="41">
        <f t="shared" si="278"/>
        <v>260</v>
      </c>
      <c r="T355" s="43"/>
      <c r="U355" s="41"/>
      <c r="V355" s="41"/>
      <c r="W355" s="41"/>
      <c r="X355" s="43"/>
      <c r="Y355" s="41"/>
      <c r="Z355" s="43"/>
      <c r="AA355" s="41"/>
      <c r="AB355" s="43"/>
      <c r="AC355" s="41"/>
      <c r="AD355" s="41"/>
      <c r="AE355" s="41"/>
      <c r="AF355" s="41"/>
      <c r="AG355" s="41"/>
      <c r="AH355" s="41"/>
      <c r="AI355" s="41"/>
      <c r="AJ355" s="41"/>
      <c r="AK355" s="41"/>
      <c r="AL355" s="33">
        <f t="shared" si="162"/>
        <v>260</v>
      </c>
    </row>
    <row r="356" spans="2:38" x14ac:dyDescent="0.25">
      <c r="B356" s="19">
        <v>27500</v>
      </c>
      <c r="C356" s="19"/>
      <c r="D356" s="19"/>
      <c r="E356" s="19"/>
      <c r="F356" s="19"/>
      <c r="G356" s="58"/>
      <c r="H356" s="59"/>
      <c r="I356" s="145"/>
      <c r="J356" s="146"/>
      <c r="K356" s="20"/>
      <c r="L356" s="21">
        <f>+L357+L358</f>
        <v>2</v>
      </c>
      <c r="M356" s="44">
        <v>2002</v>
      </c>
      <c r="N356" s="41"/>
      <c r="O356" s="41"/>
      <c r="P356" s="41"/>
      <c r="Q356" s="41"/>
      <c r="R356" s="41"/>
      <c r="S356" s="41"/>
      <c r="T356" s="43"/>
      <c r="U356" s="41"/>
      <c r="V356" s="41"/>
      <c r="W356" s="41"/>
      <c r="X356" s="43"/>
      <c r="Y356" s="41"/>
      <c r="Z356" s="43"/>
      <c r="AA356" s="41"/>
      <c r="AB356" s="43"/>
      <c r="AC356" s="41"/>
      <c r="AD356" s="41"/>
      <c r="AE356" s="41"/>
      <c r="AF356" s="41"/>
      <c r="AG356" s="41"/>
      <c r="AH356" s="41"/>
      <c r="AI356" s="41"/>
      <c r="AJ356" s="41"/>
      <c r="AK356" s="41"/>
      <c r="AL356" s="33"/>
    </row>
    <row r="357" spans="2:38" ht="57.75" x14ac:dyDescent="0.25">
      <c r="B357" s="49">
        <v>27501</v>
      </c>
      <c r="C357" s="26" t="s">
        <v>506</v>
      </c>
      <c r="D357" s="26">
        <v>0</v>
      </c>
      <c r="E357" s="26">
        <v>1</v>
      </c>
      <c r="F357" s="49" t="s">
        <v>318</v>
      </c>
      <c r="G357" s="64" t="s">
        <v>282</v>
      </c>
      <c r="H357" s="28" t="s">
        <v>43</v>
      </c>
      <c r="I357" s="143" t="s">
        <v>44</v>
      </c>
      <c r="J357" s="144"/>
      <c r="K357" s="50">
        <v>1</v>
      </c>
      <c r="L357" s="50">
        <f>E357*K357</f>
        <v>1</v>
      </c>
      <c r="M357" s="51"/>
      <c r="N357" s="41"/>
      <c r="O357" s="41"/>
      <c r="P357" s="41"/>
      <c r="Q357" s="41"/>
      <c r="R357" s="41">
        <v>2</v>
      </c>
      <c r="S357" s="41">
        <f t="shared" ref="S357:S358" si="279">K357*R357</f>
        <v>2</v>
      </c>
      <c r="T357" s="43"/>
      <c r="U357" s="41"/>
      <c r="V357" s="41"/>
      <c r="W357" s="41"/>
      <c r="X357" s="43"/>
      <c r="Y357" s="41"/>
      <c r="Z357" s="43"/>
      <c r="AA357" s="41"/>
      <c r="AB357" s="43"/>
      <c r="AC357" s="41"/>
      <c r="AD357" s="41"/>
      <c r="AE357" s="41"/>
      <c r="AF357" s="41"/>
      <c r="AG357" s="41"/>
      <c r="AH357" s="41"/>
      <c r="AI357" s="41"/>
      <c r="AJ357" s="41"/>
      <c r="AK357" s="41"/>
      <c r="AL357" s="33">
        <f t="shared" ref="AL357:AL358" si="280">O357+Q357+S357+U357+W357+Y357+AA357+AC357+AE357+AG357+AI357+AK357</f>
        <v>2</v>
      </c>
    </row>
    <row r="358" spans="2:38" ht="57.75" x14ac:dyDescent="0.25">
      <c r="B358" s="49">
        <v>27503</v>
      </c>
      <c r="C358" s="49" t="s">
        <v>507</v>
      </c>
      <c r="D358" s="49">
        <v>0</v>
      </c>
      <c r="E358" s="49">
        <v>1</v>
      </c>
      <c r="F358" s="49" t="s">
        <v>318</v>
      </c>
      <c r="G358" s="64" t="s">
        <v>282</v>
      </c>
      <c r="H358" s="28" t="s">
        <v>43</v>
      </c>
      <c r="I358" s="143" t="s">
        <v>44</v>
      </c>
      <c r="J358" s="144"/>
      <c r="K358" s="50">
        <v>1</v>
      </c>
      <c r="L358" s="50">
        <f>E358*K358</f>
        <v>1</v>
      </c>
      <c r="M358" s="51"/>
      <c r="N358" s="41"/>
      <c r="O358" s="41"/>
      <c r="P358" s="41"/>
      <c r="Q358" s="41"/>
      <c r="R358" s="41">
        <v>10</v>
      </c>
      <c r="S358" s="41">
        <f t="shared" si="279"/>
        <v>10</v>
      </c>
      <c r="T358" s="43"/>
      <c r="U358" s="41"/>
      <c r="V358" s="41"/>
      <c r="W358" s="41"/>
      <c r="X358" s="43"/>
      <c r="Y358" s="41"/>
      <c r="Z358" s="43"/>
      <c r="AA358" s="41"/>
      <c r="AB358" s="43"/>
      <c r="AC358" s="41"/>
      <c r="AD358" s="41"/>
      <c r="AE358" s="41"/>
      <c r="AF358" s="41"/>
      <c r="AG358" s="41"/>
      <c r="AH358" s="41"/>
      <c r="AI358" s="41"/>
      <c r="AJ358" s="41"/>
      <c r="AK358" s="41"/>
      <c r="AL358" s="33">
        <f t="shared" si="280"/>
        <v>10</v>
      </c>
    </row>
    <row r="359" spans="2:38" x14ac:dyDescent="0.25">
      <c r="B359" s="19">
        <v>2900</v>
      </c>
      <c r="C359" s="19"/>
      <c r="D359" s="19"/>
      <c r="E359" s="19"/>
      <c r="F359" s="19"/>
      <c r="G359" s="58"/>
      <c r="H359" s="59"/>
      <c r="I359" s="145"/>
      <c r="J359" s="146"/>
      <c r="K359" s="20"/>
      <c r="L359" s="21">
        <f>L360+L369+L376+L381+L402+L445</f>
        <v>617579.38636</v>
      </c>
      <c r="M359" s="60">
        <f>M360+M369+M376+M381+M402+M445</f>
        <v>403012</v>
      </c>
      <c r="N359" s="41"/>
      <c r="O359" s="41"/>
      <c r="P359" s="41"/>
      <c r="Q359" s="41"/>
      <c r="R359" s="41"/>
      <c r="S359" s="41"/>
      <c r="T359" s="43"/>
      <c r="U359" s="41"/>
      <c r="V359" s="41"/>
      <c r="W359" s="41"/>
      <c r="X359" s="43"/>
      <c r="Y359" s="41"/>
      <c r="Z359" s="43"/>
      <c r="AA359" s="41"/>
      <c r="AB359" s="43"/>
      <c r="AC359" s="41"/>
      <c r="AD359" s="41"/>
      <c r="AE359" s="41"/>
      <c r="AF359" s="41"/>
      <c r="AG359" s="41"/>
      <c r="AH359" s="41"/>
      <c r="AI359" s="41"/>
      <c r="AJ359" s="41"/>
      <c r="AK359" s="41"/>
      <c r="AL359" s="33"/>
    </row>
    <row r="360" spans="2:38" x14ac:dyDescent="0.25">
      <c r="B360" s="19">
        <v>29100</v>
      </c>
      <c r="C360" s="19"/>
      <c r="D360" s="19"/>
      <c r="E360" s="19"/>
      <c r="F360" s="19"/>
      <c r="G360" s="58"/>
      <c r="H360" s="59"/>
      <c r="I360" s="145"/>
      <c r="J360" s="146"/>
      <c r="K360" s="20"/>
      <c r="L360" s="21">
        <f>+L361+L366+L367+L368</f>
        <v>2032</v>
      </c>
      <c r="M360" s="60">
        <f>M361</f>
        <v>7003</v>
      </c>
      <c r="N360" s="41"/>
      <c r="O360" s="41"/>
      <c r="P360" s="41"/>
      <c r="Q360" s="41"/>
      <c r="R360" s="41"/>
      <c r="S360" s="41"/>
      <c r="T360" s="43"/>
      <c r="U360" s="41"/>
      <c r="V360" s="41"/>
      <c r="W360" s="41"/>
      <c r="X360" s="43"/>
      <c r="Y360" s="41"/>
      <c r="Z360" s="43"/>
      <c r="AA360" s="41"/>
      <c r="AB360" s="43"/>
      <c r="AC360" s="41"/>
      <c r="AD360" s="41"/>
      <c r="AE360" s="41"/>
      <c r="AF360" s="41"/>
      <c r="AG360" s="41"/>
      <c r="AH360" s="41"/>
      <c r="AI360" s="41"/>
      <c r="AJ360" s="41"/>
      <c r="AK360" s="41"/>
      <c r="AL360" s="33"/>
    </row>
    <row r="361" spans="2:38" x14ac:dyDescent="0.25">
      <c r="B361" s="19">
        <v>29101</v>
      </c>
      <c r="C361" s="19"/>
      <c r="D361" s="19"/>
      <c r="E361" s="19"/>
      <c r="F361" s="19"/>
      <c r="G361" s="58"/>
      <c r="H361" s="59"/>
      <c r="I361" s="145"/>
      <c r="J361" s="146"/>
      <c r="K361" s="20"/>
      <c r="L361" s="21">
        <f>SUM(L362:L365)</f>
        <v>2029</v>
      </c>
      <c r="M361" s="60">
        <v>7003</v>
      </c>
      <c r="N361" s="41"/>
      <c r="O361" s="41"/>
      <c r="P361" s="41"/>
      <c r="Q361" s="41"/>
      <c r="R361" s="41"/>
      <c r="S361" s="41"/>
      <c r="T361" s="43"/>
      <c r="U361" s="41"/>
      <c r="V361" s="41"/>
      <c r="W361" s="41"/>
      <c r="X361" s="43"/>
      <c r="Y361" s="41"/>
      <c r="Z361" s="43"/>
      <c r="AA361" s="41"/>
      <c r="AB361" s="43"/>
      <c r="AC361" s="41"/>
      <c r="AD361" s="41"/>
      <c r="AE361" s="41"/>
      <c r="AF361" s="41"/>
      <c r="AG361" s="41"/>
      <c r="AH361" s="41"/>
      <c r="AI361" s="41"/>
      <c r="AJ361" s="41"/>
      <c r="AK361" s="41"/>
      <c r="AL361" s="33"/>
    </row>
    <row r="362" spans="2:38" ht="57.75" x14ac:dyDescent="0.25">
      <c r="B362" s="49">
        <v>29101</v>
      </c>
      <c r="C362" s="26" t="s">
        <v>323</v>
      </c>
      <c r="D362" s="26">
        <v>0</v>
      </c>
      <c r="E362" s="26">
        <v>1</v>
      </c>
      <c r="F362" s="49" t="s">
        <v>546</v>
      </c>
      <c r="G362" s="64" t="s">
        <v>282</v>
      </c>
      <c r="H362" s="28" t="s">
        <v>43</v>
      </c>
      <c r="I362" s="143" t="s">
        <v>44</v>
      </c>
      <c r="J362" s="144"/>
      <c r="K362" s="50">
        <v>402</v>
      </c>
      <c r="L362" s="50">
        <f t="shared" ref="L362:L368" si="281">E362*K362</f>
        <v>402</v>
      </c>
      <c r="M362" s="51"/>
      <c r="N362" s="41"/>
      <c r="O362" s="41"/>
      <c r="P362" s="41"/>
      <c r="Q362" s="41"/>
      <c r="R362" s="41">
        <v>1</v>
      </c>
      <c r="S362" s="41">
        <f t="shared" ref="S362:S364" si="282">K362*R362</f>
        <v>402</v>
      </c>
      <c r="T362" s="43"/>
      <c r="U362" s="41"/>
      <c r="V362" s="41"/>
      <c r="W362" s="41"/>
      <c r="X362" s="43"/>
      <c r="Y362" s="41"/>
      <c r="Z362" s="43">
        <v>1</v>
      </c>
      <c r="AA362" s="41">
        <f t="shared" ref="AA362" si="283">K362*Z362</f>
        <v>402</v>
      </c>
      <c r="AB362" s="43"/>
      <c r="AC362" s="41"/>
      <c r="AD362" s="41"/>
      <c r="AE362" s="41"/>
      <c r="AF362" s="41"/>
      <c r="AG362" s="41"/>
      <c r="AH362" s="41"/>
      <c r="AI362" s="41"/>
      <c r="AJ362" s="41"/>
      <c r="AK362" s="41"/>
      <c r="AL362" s="33">
        <f t="shared" si="162"/>
        <v>804</v>
      </c>
    </row>
    <row r="363" spans="2:38" ht="57.75" x14ac:dyDescent="0.25">
      <c r="B363" s="49">
        <v>29101</v>
      </c>
      <c r="C363" s="49" t="s">
        <v>324</v>
      </c>
      <c r="D363" s="49">
        <v>0</v>
      </c>
      <c r="E363" s="49">
        <v>1</v>
      </c>
      <c r="F363" s="49" t="s">
        <v>49</v>
      </c>
      <c r="G363" s="64" t="s">
        <v>282</v>
      </c>
      <c r="H363" s="28" t="s">
        <v>43</v>
      </c>
      <c r="I363" s="143" t="s">
        <v>44</v>
      </c>
      <c r="J363" s="144"/>
      <c r="K363" s="50">
        <v>191</v>
      </c>
      <c r="L363" s="50">
        <f t="shared" si="281"/>
        <v>191</v>
      </c>
      <c r="M363" s="51"/>
      <c r="N363" s="41"/>
      <c r="O363" s="41"/>
      <c r="P363" s="41"/>
      <c r="Q363" s="41"/>
      <c r="R363" s="41">
        <v>1</v>
      </c>
      <c r="S363" s="41">
        <f t="shared" si="282"/>
        <v>191</v>
      </c>
      <c r="T363" s="43"/>
      <c r="U363" s="41"/>
      <c r="V363" s="41"/>
      <c r="W363" s="41"/>
      <c r="X363" s="43"/>
      <c r="Y363" s="41"/>
      <c r="Z363" s="43"/>
      <c r="AA363" s="41"/>
      <c r="AB363" s="43"/>
      <c r="AC363" s="41"/>
      <c r="AD363" s="41"/>
      <c r="AE363" s="41"/>
      <c r="AF363" s="41"/>
      <c r="AG363" s="41"/>
      <c r="AH363" s="41"/>
      <c r="AI363" s="41"/>
      <c r="AJ363" s="41"/>
      <c r="AK363" s="41"/>
      <c r="AL363" s="33">
        <f t="shared" si="162"/>
        <v>191</v>
      </c>
    </row>
    <row r="364" spans="2:38" ht="57.75" x14ac:dyDescent="0.25">
      <c r="B364" s="49">
        <v>29101</v>
      </c>
      <c r="C364" s="49" t="s">
        <v>325</v>
      </c>
      <c r="D364" s="49">
        <v>0</v>
      </c>
      <c r="E364" s="49">
        <v>1</v>
      </c>
      <c r="F364" s="49" t="s">
        <v>49</v>
      </c>
      <c r="G364" s="64" t="s">
        <v>282</v>
      </c>
      <c r="H364" s="28" t="s">
        <v>43</v>
      </c>
      <c r="I364" s="143" t="s">
        <v>44</v>
      </c>
      <c r="J364" s="144"/>
      <c r="K364" s="50">
        <v>236</v>
      </c>
      <c r="L364" s="50">
        <f t="shared" si="281"/>
        <v>236</v>
      </c>
      <c r="M364" s="51"/>
      <c r="N364" s="41"/>
      <c r="O364" s="41"/>
      <c r="P364" s="41"/>
      <c r="Q364" s="41"/>
      <c r="R364" s="41">
        <v>1</v>
      </c>
      <c r="S364" s="41">
        <f t="shared" si="282"/>
        <v>236</v>
      </c>
      <c r="T364" s="43"/>
      <c r="U364" s="41"/>
      <c r="V364" s="41"/>
      <c r="W364" s="41"/>
      <c r="X364" s="43"/>
      <c r="Y364" s="41"/>
      <c r="Z364" s="43"/>
      <c r="AA364" s="41"/>
      <c r="AB364" s="43"/>
      <c r="AC364" s="41"/>
      <c r="AD364" s="41"/>
      <c r="AE364" s="41"/>
      <c r="AF364" s="41"/>
      <c r="AG364" s="41"/>
      <c r="AH364" s="41"/>
      <c r="AI364" s="41"/>
      <c r="AJ364" s="41"/>
      <c r="AK364" s="41"/>
      <c r="AL364" s="33">
        <f t="shared" si="162"/>
        <v>236</v>
      </c>
    </row>
    <row r="365" spans="2:38" ht="57.75" x14ac:dyDescent="0.25">
      <c r="B365" s="49">
        <v>29101</v>
      </c>
      <c r="C365" s="49" t="s">
        <v>326</v>
      </c>
      <c r="D365" s="49">
        <v>0</v>
      </c>
      <c r="E365" s="49">
        <v>1</v>
      </c>
      <c r="F365" s="49" t="s">
        <v>49</v>
      </c>
      <c r="G365" s="64" t="s">
        <v>282</v>
      </c>
      <c r="H365" s="28" t="s">
        <v>43</v>
      </c>
      <c r="I365" s="143" t="s">
        <v>44</v>
      </c>
      <c r="J365" s="144"/>
      <c r="K365" s="50">
        <v>1200</v>
      </c>
      <c r="L365" s="50">
        <f t="shared" si="281"/>
        <v>1200</v>
      </c>
      <c r="M365" s="51"/>
      <c r="N365" s="41"/>
      <c r="O365" s="41"/>
      <c r="P365" s="41"/>
      <c r="Q365" s="41"/>
      <c r="R365" s="41"/>
      <c r="S365" s="41"/>
      <c r="T365" s="43">
        <v>1</v>
      </c>
      <c r="U365" s="41">
        <f t="shared" ref="U365" si="284">K365*T365</f>
        <v>1200</v>
      </c>
      <c r="V365" s="41"/>
      <c r="W365" s="41"/>
      <c r="X365" s="43"/>
      <c r="Y365" s="41"/>
      <c r="Z365" s="43"/>
      <c r="AA365" s="41"/>
      <c r="AB365" s="43"/>
      <c r="AC365" s="41"/>
      <c r="AD365" s="41"/>
      <c r="AE365" s="41"/>
      <c r="AF365" s="41"/>
      <c r="AG365" s="41"/>
      <c r="AH365" s="41"/>
      <c r="AI365" s="41"/>
      <c r="AJ365" s="41"/>
      <c r="AK365" s="41"/>
      <c r="AL365" s="33">
        <f t="shared" si="162"/>
        <v>1200</v>
      </c>
    </row>
    <row r="366" spans="2:38" ht="57.75" x14ac:dyDescent="0.25">
      <c r="B366" s="49">
        <v>29102</v>
      </c>
      <c r="C366" s="49" t="s">
        <v>508</v>
      </c>
      <c r="D366" s="49"/>
      <c r="E366" s="49">
        <v>1</v>
      </c>
      <c r="F366" s="49" t="s">
        <v>49</v>
      </c>
      <c r="G366" s="64" t="s">
        <v>282</v>
      </c>
      <c r="H366" s="28" t="s">
        <v>43</v>
      </c>
      <c r="I366" s="143" t="s">
        <v>44</v>
      </c>
      <c r="J366" s="144"/>
      <c r="K366" s="50">
        <v>1</v>
      </c>
      <c r="L366" s="50">
        <f t="shared" si="281"/>
        <v>1</v>
      </c>
      <c r="M366" s="51"/>
      <c r="N366" s="41"/>
      <c r="O366" s="41"/>
      <c r="P366" s="41"/>
      <c r="Q366" s="41"/>
      <c r="R366" s="41"/>
      <c r="S366" s="41"/>
      <c r="T366" s="43"/>
      <c r="U366" s="41"/>
      <c r="V366" s="41"/>
      <c r="W366" s="41"/>
      <c r="X366" s="43"/>
      <c r="Y366" s="41"/>
      <c r="Z366" s="43"/>
      <c r="AA366" s="41"/>
      <c r="AB366" s="43"/>
      <c r="AC366" s="41"/>
      <c r="AD366" s="41"/>
      <c r="AE366" s="41"/>
      <c r="AF366" s="41"/>
      <c r="AG366" s="41"/>
      <c r="AH366" s="41"/>
      <c r="AI366" s="41"/>
      <c r="AJ366" s="41"/>
      <c r="AK366" s="41"/>
      <c r="AL366" s="33"/>
    </row>
    <row r="367" spans="2:38" ht="57.75" x14ac:dyDescent="0.25">
      <c r="B367" s="49">
        <v>29106</v>
      </c>
      <c r="C367" s="49" t="s">
        <v>509</v>
      </c>
      <c r="D367" s="49"/>
      <c r="E367" s="49">
        <v>1</v>
      </c>
      <c r="F367" s="49" t="s">
        <v>49</v>
      </c>
      <c r="G367" s="64" t="s">
        <v>282</v>
      </c>
      <c r="H367" s="28" t="s">
        <v>43</v>
      </c>
      <c r="I367" s="143" t="s">
        <v>44</v>
      </c>
      <c r="J367" s="144"/>
      <c r="K367" s="50">
        <v>1</v>
      </c>
      <c r="L367" s="50">
        <f t="shared" si="281"/>
        <v>1</v>
      </c>
      <c r="M367" s="51"/>
      <c r="N367" s="41"/>
      <c r="O367" s="41"/>
      <c r="P367" s="41"/>
      <c r="Q367" s="41"/>
      <c r="R367" s="41"/>
      <c r="S367" s="41"/>
      <c r="T367" s="43"/>
      <c r="U367" s="41"/>
      <c r="V367" s="41"/>
      <c r="W367" s="41"/>
      <c r="X367" s="43"/>
      <c r="Y367" s="41"/>
      <c r="Z367" s="43"/>
      <c r="AA367" s="41"/>
      <c r="AB367" s="43"/>
      <c r="AC367" s="41"/>
      <c r="AD367" s="41"/>
      <c r="AE367" s="41"/>
      <c r="AF367" s="41"/>
      <c r="AG367" s="41"/>
      <c r="AH367" s="41"/>
      <c r="AI367" s="41"/>
      <c r="AJ367" s="41"/>
      <c r="AK367" s="41"/>
      <c r="AL367" s="33"/>
    </row>
    <row r="368" spans="2:38" ht="57.75" x14ac:dyDescent="0.25">
      <c r="B368" s="49">
        <v>29107</v>
      </c>
      <c r="C368" s="49" t="s">
        <v>510</v>
      </c>
      <c r="D368" s="49"/>
      <c r="E368" s="49">
        <v>1</v>
      </c>
      <c r="F368" s="49" t="s">
        <v>49</v>
      </c>
      <c r="G368" s="64" t="s">
        <v>282</v>
      </c>
      <c r="H368" s="28" t="s">
        <v>43</v>
      </c>
      <c r="I368" s="143" t="s">
        <v>44</v>
      </c>
      <c r="J368" s="144"/>
      <c r="K368" s="50">
        <v>1</v>
      </c>
      <c r="L368" s="50">
        <f t="shared" si="281"/>
        <v>1</v>
      </c>
      <c r="M368" s="51"/>
      <c r="N368" s="41"/>
      <c r="O368" s="41"/>
      <c r="P368" s="41"/>
      <c r="Q368" s="41"/>
      <c r="R368" s="41"/>
      <c r="S368" s="41"/>
      <c r="T368" s="43"/>
      <c r="U368" s="41"/>
      <c r="V368" s="41"/>
      <c r="W368" s="41"/>
      <c r="X368" s="43"/>
      <c r="Y368" s="41"/>
      <c r="Z368" s="43"/>
      <c r="AA368" s="41"/>
      <c r="AB368" s="43"/>
      <c r="AC368" s="41"/>
      <c r="AD368" s="41"/>
      <c r="AE368" s="41"/>
      <c r="AF368" s="41"/>
      <c r="AG368" s="41"/>
      <c r="AH368" s="41"/>
      <c r="AI368" s="41"/>
      <c r="AJ368" s="41"/>
      <c r="AK368" s="41"/>
      <c r="AL368" s="33"/>
    </row>
    <row r="369" spans="2:38" x14ac:dyDescent="0.25">
      <c r="B369" s="19">
        <v>29200</v>
      </c>
      <c r="C369" s="19"/>
      <c r="D369" s="19"/>
      <c r="E369" s="19"/>
      <c r="F369" s="19"/>
      <c r="G369" s="58"/>
      <c r="H369" s="59"/>
      <c r="I369" s="145"/>
      <c r="J369" s="146"/>
      <c r="K369" s="20"/>
      <c r="L369" s="21">
        <f>L370+L372</f>
        <v>78455.16</v>
      </c>
      <c r="M369" s="60">
        <f>M373+M370</f>
        <v>8000</v>
      </c>
      <c r="N369" s="41"/>
      <c r="O369" s="41"/>
      <c r="P369" s="41"/>
      <c r="Q369" s="41"/>
      <c r="R369" s="41"/>
      <c r="S369" s="41"/>
      <c r="T369" s="43"/>
      <c r="U369" s="41"/>
      <c r="V369" s="41"/>
      <c r="W369" s="41"/>
      <c r="X369" s="43"/>
      <c r="Y369" s="41"/>
      <c r="Z369" s="43"/>
      <c r="AA369" s="41"/>
      <c r="AB369" s="43"/>
      <c r="AC369" s="41"/>
      <c r="AD369" s="41"/>
      <c r="AE369" s="41"/>
      <c r="AF369" s="41"/>
      <c r="AG369" s="41"/>
      <c r="AH369" s="41"/>
      <c r="AI369" s="41"/>
      <c r="AJ369" s="41"/>
      <c r="AK369" s="41"/>
      <c r="AL369" s="33"/>
    </row>
    <row r="370" spans="2:38" x14ac:dyDescent="0.25">
      <c r="B370" s="19">
        <v>29201</v>
      </c>
      <c r="C370" s="19"/>
      <c r="D370" s="19"/>
      <c r="E370" s="19"/>
      <c r="F370" s="19"/>
      <c r="G370" s="58"/>
      <c r="H370" s="59"/>
      <c r="I370" s="145"/>
      <c r="J370" s="146"/>
      <c r="K370" s="20"/>
      <c r="L370" s="21">
        <f>SUM(L371)</f>
        <v>4500</v>
      </c>
      <c r="M370" s="44">
        <v>3000</v>
      </c>
      <c r="N370" s="41"/>
      <c r="O370" s="41"/>
      <c r="P370" s="41"/>
      <c r="Q370" s="41"/>
      <c r="R370" s="41"/>
      <c r="S370" s="41"/>
      <c r="T370" s="43"/>
      <c r="U370" s="41"/>
      <c r="V370" s="41"/>
      <c r="W370" s="41"/>
      <c r="X370" s="43"/>
      <c r="Y370" s="41"/>
      <c r="Z370" s="43"/>
      <c r="AA370" s="41"/>
      <c r="AB370" s="43"/>
      <c r="AC370" s="41"/>
      <c r="AD370" s="41"/>
      <c r="AE370" s="41"/>
      <c r="AF370" s="41"/>
      <c r="AG370" s="41"/>
      <c r="AH370" s="41"/>
      <c r="AI370" s="41"/>
      <c r="AJ370" s="41"/>
      <c r="AK370" s="41"/>
      <c r="AL370" s="33"/>
    </row>
    <row r="371" spans="2:38" ht="57.75" x14ac:dyDescent="0.25">
      <c r="B371" s="49">
        <v>29201</v>
      </c>
      <c r="C371" s="49" t="s">
        <v>327</v>
      </c>
      <c r="D371" s="49">
        <v>0</v>
      </c>
      <c r="E371" s="49">
        <v>3</v>
      </c>
      <c r="F371" s="49" t="s">
        <v>49</v>
      </c>
      <c r="G371" s="64" t="s">
        <v>89</v>
      </c>
      <c r="H371" s="28" t="s">
        <v>43</v>
      </c>
      <c r="I371" s="143" t="s">
        <v>44</v>
      </c>
      <c r="J371" s="144"/>
      <c r="K371" s="50">
        <v>1500</v>
      </c>
      <c r="L371" s="50">
        <f>E371*K371</f>
        <v>4500</v>
      </c>
      <c r="M371" s="51"/>
      <c r="N371" s="41"/>
      <c r="O371" s="41"/>
      <c r="P371" s="41"/>
      <c r="Q371" s="41"/>
      <c r="R371" s="41"/>
      <c r="S371" s="41"/>
      <c r="T371" s="43"/>
      <c r="U371" s="41"/>
      <c r="V371" s="41"/>
      <c r="W371" s="41"/>
      <c r="X371" s="43">
        <v>1</v>
      </c>
      <c r="Y371" s="41">
        <f t="shared" ref="Y371" si="285">K371*X371</f>
        <v>1500</v>
      </c>
      <c r="Z371" s="43"/>
      <c r="AA371" s="41"/>
      <c r="AB371" s="43"/>
      <c r="AC371" s="41"/>
      <c r="AD371" s="41">
        <v>1</v>
      </c>
      <c r="AE371" s="41">
        <f t="shared" ref="AE371" si="286">K371*AD371</f>
        <v>1500</v>
      </c>
      <c r="AF371" s="41"/>
      <c r="AG371" s="41"/>
      <c r="AH371" s="41"/>
      <c r="AI371" s="41"/>
      <c r="AJ371" s="41"/>
      <c r="AK371" s="41"/>
      <c r="AL371" s="33">
        <f t="shared" ref="AL371:AL430" si="287">O371+Q371+S371+U371+W371+Y371+AA371+AC371+AE371+AG371+AI371+AK371</f>
        <v>3000</v>
      </c>
    </row>
    <row r="372" spans="2:38" x14ac:dyDescent="0.25">
      <c r="B372" s="19">
        <v>29202</v>
      </c>
      <c r="C372" s="19"/>
      <c r="D372" s="19"/>
      <c r="E372" s="19"/>
      <c r="F372" s="19"/>
      <c r="G372" s="58"/>
      <c r="H372" s="59"/>
      <c r="I372" s="145"/>
      <c r="J372" s="146"/>
      <c r="K372" s="20"/>
      <c r="L372" s="21">
        <f>SUM(L373:L375)</f>
        <v>73955.16</v>
      </c>
      <c r="M372" s="51"/>
      <c r="N372" s="41"/>
      <c r="O372" s="41"/>
      <c r="P372" s="41"/>
      <c r="Q372" s="41"/>
      <c r="R372" s="41"/>
      <c r="S372" s="41"/>
      <c r="T372" s="43"/>
      <c r="U372" s="41"/>
      <c r="V372" s="41"/>
      <c r="W372" s="41"/>
      <c r="X372" s="43"/>
      <c r="Y372" s="41"/>
      <c r="Z372" s="43"/>
      <c r="AA372" s="41"/>
      <c r="AB372" s="43"/>
      <c r="AC372" s="41"/>
      <c r="AD372" s="41"/>
      <c r="AE372" s="41"/>
      <c r="AF372" s="41"/>
      <c r="AG372" s="41"/>
      <c r="AH372" s="41"/>
      <c r="AI372" s="41"/>
      <c r="AJ372" s="41"/>
      <c r="AK372" s="41"/>
      <c r="AL372" s="33"/>
    </row>
    <row r="373" spans="2:38" ht="57.75" x14ac:dyDescent="0.25">
      <c r="B373" s="49">
        <v>29202</v>
      </c>
      <c r="C373" s="49" t="s">
        <v>328</v>
      </c>
      <c r="D373" s="49">
        <v>0</v>
      </c>
      <c r="E373" s="49">
        <v>2</v>
      </c>
      <c r="F373" s="49" t="s">
        <v>49</v>
      </c>
      <c r="G373" s="64" t="s">
        <v>89</v>
      </c>
      <c r="H373" s="28" t="s">
        <v>43</v>
      </c>
      <c r="I373" s="143" t="s">
        <v>44</v>
      </c>
      <c r="J373" s="144"/>
      <c r="K373" s="50">
        <v>4350</v>
      </c>
      <c r="L373" s="50">
        <f>E373*K373</f>
        <v>8700</v>
      </c>
      <c r="M373" s="44">
        <v>5000</v>
      </c>
      <c r="N373" s="41"/>
      <c r="O373" s="41"/>
      <c r="P373" s="41"/>
      <c r="Q373" s="41"/>
      <c r="R373" s="41"/>
      <c r="S373" s="41"/>
      <c r="T373" s="43"/>
      <c r="U373" s="41"/>
      <c r="V373" s="41">
        <v>1</v>
      </c>
      <c r="W373" s="41">
        <f>V373*K373</f>
        <v>4350</v>
      </c>
      <c r="X373" s="43"/>
      <c r="Y373" s="41"/>
      <c r="Z373" s="43"/>
      <c r="AA373" s="41"/>
      <c r="AB373" s="43"/>
      <c r="AC373" s="41"/>
      <c r="AD373" s="41">
        <v>1</v>
      </c>
      <c r="AE373" s="41">
        <f>AD373*K373</f>
        <v>4350</v>
      </c>
      <c r="AF373" s="41"/>
      <c r="AG373" s="41"/>
      <c r="AH373" s="41"/>
      <c r="AI373" s="41"/>
      <c r="AJ373" s="41"/>
      <c r="AK373" s="41"/>
      <c r="AL373" s="33">
        <f t="shared" si="287"/>
        <v>8700</v>
      </c>
    </row>
    <row r="374" spans="2:38" ht="57.75" x14ac:dyDescent="0.25">
      <c r="B374" s="49">
        <v>29202</v>
      </c>
      <c r="C374" s="49" t="s">
        <v>329</v>
      </c>
      <c r="D374" s="49">
        <v>0</v>
      </c>
      <c r="E374" s="49">
        <v>14</v>
      </c>
      <c r="F374" s="49" t="s">
        <v>206</v>
      </c>
      <c r="G374" s="64" t="s">
        <v>89</v>
      </c>
      <c r="H374" s="28" t="s">
        <v>43</v>
      </c>
      <c r="I374" s="143" t="s">
        <v>44</v>
      </c>
      <c r="J374" s="144"/>
      <c r="K374" s="50">
        <f>4520/14</f>
        <v>322.85714285714283</v>
      </c>
      <c r="L374" s="50">
        <f>E374*K374</f>
        <v>4520</v>
      </c>
      <c r="M374" s="51"/>
      <c r="N374" s="41"/>
      <c r="O374" s="41"/>
      <c r="P374" s="41"/>
      <c r="Q374" s="41"/>
      <c r="R374" s="41"/>
      <c r="S374" s="41"/>
      <c r="T374" s="43">
        <v>4</v>
      </c>
      <c r="U374" s="41">
        <f t="shared" ref="U374" si="288">K374*T374</f>
        <v>1291.4285714285713</v>
      </c>
      <c r="V374" s="41">
        <v>0</v>
      </c>
      <c r="W374" s="41">
        <v>0</v>
      </c>
      <c r="X374" s="43">
        <v>0</v>
      </c>
      <c r="Y374" s="41">
        <v>0</v>
      </c>
      <c r="Z374" s="43">
        <v>5</v>
      </c>
      <c r="AA374" s="41">
        <f t="shared" ref="AA374" si="289">K374*Z374</f>
        <v>1614.2857142857142</v>
      </c>
      <c r="AB374" s="43">
        <v>0</v>
      </c>
      <c r="AC374" s="41">
        <v>0</v>
      </c>
      <c r="AD374" s="41">
        <v>0</v>
      </c>
      <c r="AE374" s="41">
        <v>0</v>
      </c>
      <c r="AF374" s="41">
        <v>3</v>
      </c>
      <c r="AG374" s="41">
        <f t="shared" ref="AG374" si="290">K374*AF374</f>
        <v>968.57142857142844</v>
      </c>
      <c r="AH374" s="41"/>
      <c r="AI374" s="41"/>
      <c r="AJ374" s="41"/>
      <c r="AK374" s="41"/>
      <c r="AL374" s="33">
        <f t="shared" si="287"/>
        <v>3874.2857142857138</v>
      </c>
    </row>
    <row r="375" spans="2:38" ht="57.75" x14ac:dyDescent="0.25">
      <c r="B375" s="49">
        <v>29202</v>
      </c>
      <c r="C375" s="26" t="s">
        <v>330</v>
      </c>
      <c r="D375" s="26">
        <v>0</v>
      </c>
      <c r="E375" s="26">
        <v>1</v>
      </c>
      <c r="F375" s="49" t="s">
        <v>546</v>
      </c>
      <c r="G375" s="64" t="s">
        <v>282</v>
      </c>
      <c r="H375" s="28" t="s">
        <v>43</v>
      </c>
      <c r="I375" s="143" t="s">
        <v>44</v>
      </c>
      <c r="J375" s="144"/>
      <c r="K375" s="50">
        <v>60735.16</v>
      </c>
      <c r="L375" s="50">
        <f>E375*K375</f>
        <v>60735.16</v>
      </c>
      <c r="M375" s="51"/>
      <c r="N375" s="41"/>
      <c r="O375" s="41"/>
      <c r="P375" s="41">
        <v>2</v>
      </c>
      <c r="Q375" s="41">
        <f t="shared" ref="Q375" si="291">K375*P375</f>
        <v>121470.32</v>
      </c>
      <c r="R375" s="41"/>
      <c r="S375" s="41"/>
      <c r="T375" s="43"/>
      <c r="U375" s="41"/>
      <c r="V375" s="41"/>
      <c r="W375" s="41"/>
      <c r="X375" s="43"/>
      <c r="Y375" s="41"/>
      <c r="Z375" s="43"/>
      <c r="AA375" s="41"/>
      <c r="AB375" s="43"/>
      <c r="AC375" s="41"/>
      <c r="AD375" s="41"/>
      <c r="AE375" s="41"/>
      <c r="AF375" s="41"/>
      <c r="AG375" s="41"/>
      <c r="AH375" s="41"/>
      <c r="AI375" s="41"/>
      <c r="AJ375" s="41"/>
      <c r="AK375" s="41"/>
      <c r="AL375" s="33">
        <f t="shared" si="287"/>
        <v>121470.32</v>
      </c>
    </row>
    <row r="376" spans="2:38" x14ac:dyDescent="0.25">
      <c r="B376" s="19">
        <v>29300</v>
      </c>
      <c r="C376" s="19"/>
      <c r="D376" s="19"/>
      <c r="E376" s="19"/>
      <c r="F376" s="19"/>
      <c r="G376" s="58"/>
      <c r="H376" s="59"/>
      <c r="I376" s="145"/>
      <c r="J376" s="146"/>
      <c r="K376" s="20"/>
      <c r="L376" s="21">
        <f>L377</f>
        <v>6301</v>
      </c>
      <c r="M376" s="60">
        <f>M377</f>
        <v>1500</v>
      </c>
      <c r="N376" s="41"/>
      <c r="O376" s="41"/>
      <c r="P376" s="41"/>
      <c r="Q376" s="41"/>
      <c r="R376" s="41"/>
      <c r="S376" s="41"/>
      <c r="T376" s="43"/>
      <c r="U376" s="41"/>
      <c r="V376" s="41"/>
      <c r="W376" s="41"/>
      <c r="X376" s="43"/>
      <c r="Y376" s="41"/>
      <c r="Z376" s="43"/>
      <c r="AA376" s="41"/>
      <c r="AB376" s="43"/>
      <c r="AC376" s="41"/>
      <c r="AD376" s="41"/>
      <c r="AE376" s="41"/>
      <c r="AF376" s="41"/>
      <c r="AG376" s="41"/>
      <c r="AH376" s="41"/>
      <c r="AI376" s="41"/>
      <c r="AJ376" s="41"/>
      <c r="AK376" s="41"/>
      <c r="AL376" s="33"/>
    </row>
    <row r="377" spans="2:38" x14ac:dyDescent="0.25">
      <c r="B377" s="19">
        <v>29301</v>
      </c>
      <c r="C377" s="19"/>
      <c r="D377" s="19"/>
      <c r="E377" s="19"/>
      <c r="F377" s="19"/>
      <c r="G377" s="58"/>
      <c r="H377" s="59"/>
      <c r="I377" s="145"/>
      <c r="J377" s="146"/>
      <c r="K377" s="20"/>
      <c r="L377" s="21">
        <f>SUM(L378:L380)</f>
        <v>6301</v>
      </c>
      <c r="M377" s="44">
        <v>1500</v>
      </c>
      <c r="N377" s="41"/>
      <c r="O377" s="41"/>
      <c r="P377" s="41"/>
      <c r="Q377" s="41"/>
      <c r="R377" s="41"/>
      <c r="S377" s="41"/>
      <c r="T377" s="43"/>
      <c r="U377" s="41"/>
      <c r="V377" s="41"/>
      <c r="W377" s="41"/>
      <c r="X377" s="43"/>
      <c r="Y377" s="41"/>
      <c r="Z377" s="43"/>
      <c r="AA377" s="41"/>
      <c r="AB377" s="43"/>
      <c r="AC377" s="41"/>
      <c r="AD377" s="41"/>
      <c r="AE377" s="41"/>
      <c r="AF377" s="41"/>
      <c r="AG377" s="41"/>
      <c r="AH377" s="41"/>
      <c r="AI377" s="41"/>
      <c r="AJ377" s="41"/>
      <c r="AK377" s="41"/>
      <c r="AL377" s="33"/>
    </row>
    <row r="378" spans="2:38" ht="57.75" x14ac:dyDescent="0.25">
      <c r="B378" s="49">
        <v>29301</v>
      </c>
      <c r="C378" s="49" t="s">
        <v>331</v>
      </c>
      <c r="D378" s="49">
        <v>0</v>
      </c>
      <c r="E378" s="49">
        <v>3</v>
      </c>
      <c r="F378" s="49" t="s">
        <v>206</v>
      </c>
      <c r="G378" s="64" t="s">
        <v>282</v>
      </c>
      <c r="H378" s="28" t="s">
        <v>43</v>
      </c>
      <c r="I378" s="143" t="s">
        <v>44</v>
      </c>
      <c r="J378" s="144"/>
      <c r="K378" s="50">
        <v>391</v>
      </c>
      <c r="L378" s="50">
        <f>E378*K378</f>
        <v>1173</v>
      </c>
      <c r="M378" s="51"/>
      <c r="N378" s="41"/>
      <c r="O378" s="41"/>
      <c r="P378" s="41"/>
      <c r="Q378" s="41"/>
      <c r="R378" s="41"/>
      <c r="S378" s="41"/>
      <c r="T378" s="43"/>
      <c r="U378" s="41"/>
      <c r="V378" s="41">
        <v>3</v>
      </c>
      <c r="W378" s="41">
        <f t="shared" ref="W378" si="292">K378*V378</f>
        <v>1173</v>
      </c>
      <c r="X378" s="43"/>
      <c r="Y378" s="41"/>
      <c r="Z378" s="43"/>
      <c r="AA378" s="41"/>
      <c r="AB378" s="43"/>
      <c r="AC378" s="41"/>
      <c r="AD378" s="41"/>
      <c r="AE378" s="41"/>
      <c r="AF378" s="41"/>
      <c r="AG378" s="41"/>
      <c r="AH378" s="41"/>
      <c r="AI378" s="41"/>
      <c r="AJ378" s="41"/>
      <c r="AK378" s="41"/>
      <c r="AL378" s="33">
        <f t="shared" si="287"/>
        <v>1173</v>
      </c>
    </row>
    <row r="379" spans="2:38" ht="57.75" x14ac:dyDescent="0.25">
      <c r="B379" s="49">
        <v>29301</v>
      </c>
      <c r="C379" s="49" t="s">
        <v>332</v>
      </c>
      <c r="D379" s="49">
        <v>0</v>
      </c>
      <c r="E379" s="49">
        <v>4</v>
      </c>
      <c r="F379" s="49" t="s">
        <v>206</v>
      </c>
      <c r="G379" s="64" t="s">
        <v>282</v>
      </c>
      <c r="H379" s="28" t="s">
        <v>43</v>
      </c>
      <c r="I379" s="143" t="s">
        <v>44</v>
      </c>
      <c r="J379" s="144"/>
      <c r="K379" s="50">
        <v>412</v>
      </c>
      <c r="L379" s="50">
        <f>E379*K379</f>
        <v>1648</v>
      </c>
      <c r="M379" s="51"/>
      <c r="N379" s="41"/>
      <c r="O379" s="41"/>
      <c r="P379" s="41"/>
      <c r="Q379" s="41"/>
      <c r="R379" s="41">
        <v>4</v>
      </c>
      <c r="S379" s="41">
        <f>R379*K379</f>
        <v>1648</v>
      </c>
      <c r="T379" s="43"/>
      <c r="U379" s="41"/>
      <c r="V379" s="41"/>
      <c r="W379" s="41"/>
      <c r="X379" s="43"/>
      <c r="Y379" s="41"/>
      <c r="Z379" s="43"/>
      <c r="AA379" s="41"/>
      <c r="AB379" s="43"/>
      <c r="AC379" s="41"/>
      <c r="AD379" s="41"/>
      <c r="AE379" s="41"/>
      <c r="AF379" s="41"/>
      <c r="AG379" s="41"/>
      <c r="AH379" s="41"/>
      <c r="AI379" s="41"/>
      <c r="AJ379" s="41"/>
      <c r="AK379" s="41"/>
      <c r="AL379" s="33">
        <f t="shared" si="287"/>
        <v>1648</v>
      </c>
    </row>
    <row r="380" spans="2:38" ht="57.75" x14ac:dyDescent="0.25">
      <c r="B380" s="49">
        <v>29301</v>
      </c>
      <c r="C380" s="26" t="s">
        <v>333</v>
      </c>
      <c r="D380" s="26">
        <v>0</v>
      </c>
      <c r="E380" s="26">
        <v>1</v>
      </c>
      <c r="F380" s="49" t="s">
        <v>546</v>
      </c>
      <c r="G380" s="64" t="s">
        <v>282</v>
      </c>
      <c r="H380" s="28" t="s">
        <v>43</v>
      </c>
      <c r="I380" s="143" t="s">
        <v>44</v>
      </c>
      <c r="J380" s="144"/>
      <c r="K380" s="50">
        <v>3480</v>
      </c>
      <c r="L380" s="50">
        <f t="shared" ref="L380" si="293">E380*K380</f>
        <v>3480</v>
      </c>
      <c r="M380" s="51"/>
      <c r="N380" s="41"/>
      <c r="O380" s="41"/>
      <c r="P380" s="41"/>
      <c r="Q380" s="41"/>
      <c r="R380" s="41">
        <v>4</v>
      </c>
      <c r="S380" s="41">
        <f>R380*K380</f>
        <v>13920</v>
      </c>
      <c r="T380" s="43"/>
      <c r="U380" s="41"/>
      <c r="V380" s="41"/>
      <c r="W380" s="41"/>
      <c r="X380" s="43"/>
      <c r="Y380" s="41"/>
      <c r="Z380" s="43"/>
      <c r="AA380" s="41"/>
      <c r="AB380" s="43"/>
      <c r="AC380" s="41"/>
      <c r="AD380" s="41"/>
      <c r="AE380" s="41"/>
      <c r="AF380" s="41"/>
      <c r="AG380" s="41"/>
      <c r="AH380" s="41"/>
      <c r="AI380" s="41"/>
      <c r="AJ380" s="41"/>
      <c r="AK380" s="41"/>
      <c r="AL380" s="33">
        <f t="shared" si="287"/>
        <v>13920</v>
      </c>
    </row>
    <row r="381" spans="2:38" x14ac:dyDescent="0.25">
      <c r="B381" s="19">
        <v>29400</v>
      </c>
      <c r="C381" s="19"/>
      <c r="D381" s="19"/>
      <c r="E381" s="19"/>
      <c r="F381" s="19"/>
      <c r="G381" s="58"/>
      <c r="H381" s="59"/>
      <c r="I381" s="145"/>
      <c r="J381" s="146"/>
      <c r="K381" s="20"/>
      <c r="L381" s="21">
        <f>+L382+L383+L384</f>
        <v>107951.87635999999</v>
      </c>
      <c r="M381" s="60">
        <f>M387+M384</f>
        <v>28501</v>
      </c>
      <c r="N381" s="41"/>
      <c r="O381" s="41"/>
      <c r="P381" s="41"/>
      <c r="Q381" s="41"/>
      <c r="R381" s="41"/>
      <c r="S381" s="41"/>
      <c r="T381" s="43"/>
      <c r="U381" s="41"/>
      <c r="V381" s="41"/>
      <c r="W381" s="41"/>
      <c r="X381" s="43"/>
      <c r="Y381" s="41"/>
      <c r="Z381" s="43"/>
      <c r="AA381" s="41"/>
      <c r="AB381" s="43"/>
      <c r="AC381" s="41"/>
      <c r="AD381" s="41"/>
      <c r="AE381" s="41"/>
      <c r="AF381" s="41"/>
      <c r="AG381" s="41"/>
      <c r="AH381" s="41"/>
      <c r="AI381" s="41"/>
      <c r="AJ381" s="41"/>
      <c r="AK381" s="41"/>
      <c r="AL381" s="33"/>
    </row>
    <row r="382" spans="2:38" ht="57.75" x14ac:dyDescent="0.25">
      <c r="B382" s="26">
        <v>29401</v>
      </c>
      <c r="C382" s="26" t="s">
        <v>511</v>
      </c>
      <c r="D382" s="26"/>
      <c r="E382" s="26">
        <v>1</v>
      </c>
      <c r="F382" s="26" t="s">
        <v>49</v>
      </c>
      <c r="G382" s="62" t="s">
        <v>89</v>
      </c>
      <c r="H382" s="80" t="s">
        <v>43</v>
      </c>
      <c r="I382" s="151" t="s">
        <v>44</v>
      </c>
      <c r="J382" s="152"/>
      <c r="K382" s="81">
        <v>1</v>
      </c>
      <c r="L382" s="81">
        <f>+E382*K382</f>
        <v>1</v>
      </c>
      <c r="M382" s="60"/>
      <c r="N382" s="41"/>
      <c r="O382" s="41"/>
      <c r="P382" s="41"/>
      <c r="Q382" s="41"/>
      <c r="R382" s="41"/>
      <c r="S382" s="41"/>
      <c r="T382" s="43"/>
      <c r="U382" s="41"/>
      <c r="V382" s="41"/>
      <c r="W382" s="41"/>
      <c r="X382" s="43"/>
      <c r="Y382" s="41"/>
      <c r="Z382" s="43"/>
      <c r="AA382" s="41"/>
      <c r="AB382" s="43"/>
      <c r="AC382" s="41"/>
      <c r="AD382" s="41"/>
      <c r="AE382" s="41"/>
      <c r="AF382" s="41"/>
      <c r="AG382" s="41"/>
      <c r="AH382" s="41"/>
      <c r="AI382" s="41"/>
      <c r="AJ382" s="41"/>
      <c r="AK382" s="41"/>
      <c r="AL382" s="33"/>
    </row>
    <row r="383" spans="2:38" ht="57.75" x14ac:dyDescent="0.25">
      <c r="B383" s="26">
        <v>29402</v>
      </c>
      <c r="C383" s="26" t="s">
        <v>512</v>
      </c>
      <c r="D383" s="26"/>
      <c r="E383" s="26">
        <v>1</v>
      </c>
      <c r="F383" s="26" t="s">
        <v>49</v>
      </c>
      <c r="G383" s="62" t="s">
        <v>89</v>
      </c>
      <c r="H383" s="80" t="s">
        <v>43</v>
      </c>
      <c r="I383" s="151" t="s">
        <v>44</v>
      </c>
      <c r="J383" s="152"/>
      <c r="K383" s="81">
        <v>2501</v>
      </c>
      <c r="L383" s="81">
        <f>+E383*K383</f>
        <v>2501</v>
      </c>
      <c r="M383" s="60"/>
      <c r="N383" s="41"/>
      <c r="O383" s="41"/>
      <c r="P383" s="41"/>
      <c r="Q383" s="41"/>
      <c r="R383" s="41"/>
      <c r="S383" s="41"/>
      <c r="T383" s="43"/>
      <c r="U383" s="41"/>
      <c r="V383" s="41"/>
      <c r="W383" s="41"/>
      <c r="X383" s="43"/>
      <c r="Y383" s="41"/>
      <c r="Z383" s="43"/>
      <c r="AA383" s="41"/>
      <c r="AB383" s="43"/>
      <c r="AC383" s="41"/>
      <c r="AD383" s="41"/>
      <c r="AE383" s="41"/>
      <c r="AF383" s="41"/>
      <c r="AG383" s="41"/>
      <c r="AH383" s="41"/>
      <c r="AI383" s="41"/>
      <c r="AJ383" s="41"/>
      <c r="AK383" s="41"/>
      <c r="AL383" s="33"/>
    </row>
    <row r="384" spans="2:38" x14ac:dyDescent="0.25">
      <c r="B384" s="19">
        <v>29403</v>
      </c>
      <c r="C384" s="19"/>
      <c r="D384" s="19"/>
      <c r="E384" s="19"/>
      <c r="F384" s="19"/>
      <c r="G384" s="58"/>
      <c r="H384" s="59"/>
      <c r="I384" s="145"/>
      <c r="J384" s="146"/>
      <c r="K384" s="20"/>
      <c r="L384" s="21">
        <f>SUM(L385:L401)</f>
        <v>105449.87635999999</v>
      </c>
      <c r="M384" s="60">
        <v>501</v>
      </c>
      <c r="N384" s="41"/>
      <c r="O384" s="41"/>
      <c r="P384" s="41"/>
      <c r="Q384" s="41"/>
      <c r="R384" s="41"/>
      <c r="S384" s="41"/>
      <c r="T384" s="43"/>
      <c r="U384" s="41"/>
      <c r="V384" s="41"/>
      <c r="W384" s="41"/>
      <c r="X384" s="43"/>
      <c r="Y384" s="41"/>
      <c r="Z384" s="43"/>
      <c r="AA384" s="41"/>
      <c r="AB384" s="43"/>
      <c r="AC384" s="41"/>
      <c r="AD384" s="41"/>
      <c r="AE384" s="41"/>
      <c r="AF384" s="41"/>
      <c r="AG384" s="41"/>
      <c r="AH384" s="41"/>
      <c r="AI384" s="41"/>
      <c r="AJ384" s="41"/>
      <c r="AK384" s="41"/>
      <c r="AL384" s="33"/>
    </row>
    <row r="385" spans="2:38" ht="57.75" x14ac:dyDescent="0.25">
      <c r="B385" s="49">
        <v>29402</v>
      </c>
      <c r="C385" s="49" t="s">
        <v>334</v>
      </c>
      <c r="D385" s="49">
        <v>0</v>
      </c>
      <c r="E385" s="49">
        <v>1</v>
      </c>
      <c r="F385" s="49" t="s">
        <v>49</v>
      </c>
      <c r="G385" s="64" t="s">
        <v>89</v>
      </c>
      <c r="H385" s="28" t="s">
        <v>43</v>
      </c>
      <c r="I385" s="143" t="s">
        <v>44</v>
      </c>
      <c r="J385" s="144"/>
      <c r="K385" s="50">
        <v>2501</v>
      </c>
      <c r="L385" s="50">
        <f t="shared" ref="L385:L401" si="294">E385*K385</f>
        <v>2501</v>
      </c>
      <c r="M385" s="51"/>
      <c r="N385" s="41"/>
      <c r="O385" s="41"/>
      <c r="P385" s="41"/>
      <c r="Q385" s="41"/>
      <c r="R385" s="41">
        <v>1</v>
      </c>
      <c r="S385" s="41">
        <f t="shared" ref="S385:S386" si="295">K385*R385</f>
        <v>2501</v>
      </c>
      <c r="T385" s="43"/>
      <c r="U385" s="41"/>
      <c r="V385" s="41"/>
      <c r="W385" s="41"/>
      <c r="X385" s="43"/>
      <c r="Y385" s="41"/>
      <c r="Z385" s="43"/>
      <c r="AA385" s="41"/>
      <c r="AB385" s="43"/>
      <c r="AC385" s="41"/>
      <c r="AD385" s="41"/>
      <c r="AE385" s="41"/>
      <c r="AF385" s="41"/>
      <c r="AG385" s="41"/>
      <c r="AH385" s="41"/>
      <c r="AI385" s="41"/>
      <c r="AJ385" s="41"/>
      <c r="AK385" s="41"/>
      <c r="AL385" s="33">
        <f t="shared" ref="AL385" si="296">O385+Q385+S385+U385+W385+Y385+AA385+AC385+AE385+AG385+AI385+AK385</f>
        <v>2501</v>
      </c>
    </row>
    <row r="386" spans="2:38" ht="57.75" x14ac:dyDescent="0.25">
      <c r="B386" s="49">
        <v>29403</v>
      </c>
      <c r="C386" s="49" t="s">
        <v>335</v>
      </c>
      <c r="D386" s="49">
        <v>0</v>
      </c>
      <c r="E386" s="49">
        <v>2</v>
      </c>
      <c r="F386" s="49" t="s">
        <v>49</v>
      </c>
      <c r="G386" s="64" t="s">
        <v>89</v>
      </c>
      <c r="H386" s="28" t="s">
        <v>43</v>
      </c>
      <c r="I386" s="143" t="s">
        <v>44</v>
      </c>
      <c r="J386" s="144"/>
      <c r="K386" s="50">
        <v>612.12</v>
      </c>
      <c r="L386" s="50">
        <f t="shared" si="294"/>
        <v>1224.24</v>
      </c>
      <c r="M386" s="51"/>
      <c r="N386" s="41"/>
      <c r="O386" s="41"/>
      <c r="P386" s="41"/>
      <c r="Q386" s="41"/>
      <c r="R386" s="41">
        <v>1</v>
      </c>
      <c r="S386" s="41">
        <f t="shared" si="295"/>
        <v>612.12</v>
      </c>
      <c r="T386" s="43"/>
      <c r="U386" s="41"/>
      <c r="V386" s="41"/>
      <c r="W386" s="41"/>
      <c r="X386" s="43"/>
      <c r="Y386" s="41"/>
      <c r="Z386" s="43"/>
      <c r="AA386" s="41"/>
      <c r="AB386" s="43"/>
      <c r="AC386" s="41"/>
      <c r="AD386" s="41"/>
      <c r="AE386" s="41"/>
      <c r="AF386" s="41"/>
      <c r="AG386" s="41"/>
      <c r="AH386" s="41"/>
      <c r="AI386" s="41"/>
      <c r="AJ386" s="41"/>
      <c r="AK386" s="41"/>
      <c r="AL386" s="33">
        <f t="shared" si="287"/>
        <v>612.12</v>
      </c>
    </row>
    <row r="387" spans="2:38" ht="57.75" x14ac:dyDescent="0.25">
      <c r="B387" s="49">
        <v>29403</v>
      </c>
      <c r="C387" s="25" t="s">
        <v>336</v>
      </c>
      <c r="D387" s="49">
        <v>0</v>
      </c>
      <c r="E387" s="49">
        <v>1</v>
      </c>
      <c r="F387" s="63" t="s">
        <v>49</v>
      </c>
      <c r="G387" s="64" t="s">
        <v>42</v>
      </c>
      <c r="H387" s="28" t="s">
        <v>43</v>
      </c>
      <c r="I387" s="153" t="s">
        <v>44</v>
      </c>
      <c r="J387" s="154"/>
      <c r="K387" s="65">
        <v>1100</v>
      </c>
      <c r="L387" s="29">
        <f t="shared" si="294"/>
        <v>1100</v>
      </c>
      <c r="M387" s="44">
        <v>28000</v>
      </c>
      <c r="N387" s="41"/>
      <c r="O387" s="41"/>
      <c r="P387" s="41"/>
      <c r="Q387" s="41"/>
      <c r="R387" s="41">
        <v>1</v>
      </c>
      <c r="S387" s="41">
        <f>R387*K387</f>
        <v>1100</v>
      </c>
      <c r="T387" s="43"/>
      <c r="U387" s="41"/>
      <c r="V387" s="41"/>
      <c r="W387" s="41"/>
      <c r="X387" s="43"/>
      <c r="Y387" s="41"/>
      <c r="Z387" s="43"/>
      <c r="AA387" s="41"/>
      <c r="AB387" s="43"/>
      <c r="AC387" s="41"/>
      <c r="AD387" s="41"/>
      <c r="AE387" s="41"/>
      <c r="AF387" s="41"/>
      <c r="AG387" s="41"/>
      <c r="AH387" s="41"/>
      <c r="AI387" s="41"/>
      <c r="AJ387" s="41"/>
      <c r="AK387" s="41"/>
      <c r="AL387" s="33">
        <f t="shared" si="287"/>
        <v>1100</v>
      </c>
    </row>
    <row r="388" spans="2:38" ht="57.75" x14ac:dyDescent="0.25">
      <c r="B388" s="14">
        <v>29403</v>
      </c>
      <c r="C388" s="25" t="s">
        <v>337</v>
      </c>
      <c r="D388" s="49">
        <v>0</v>
      </c>
      <c r="E388" s="49">
        <v>1</v>
      </c>
      <c r="F388" s="63" t="s">
        <v>206</v>
      </c>
      <c r="G388" s="64" t="s">
        <v>42</v>
      </c>
      <c r="H388" s="28" t="s">
        <v>43</v>
      </c>
      <c r="I388" s="153" t="s">
        <v>44</v>
      </c>
      <c r="J388" s="154"/>
      <c r="K388" s="65">
        <v>385</v>
      </c>
      <c r="L388" s="29">
        <f t="shared" si="294"/>
        <v>385</v>
      </c>
      <c r="M388" s="34"/>
      <c r="N388" s="35"/>
      <c r="O388" s="34"/>
      <c r="P388" s="34">
        <v>1</v>
      </c>
      <c r="Q388" s="31">
        <f>P388*K388</f>
        <v>385</v>
      </c>
      <c r="R388" s="41"/>
      <c r="S388" s="41"/>
      <c r="T388" s="43"/>
      <c r="U388" s="41"/>
      <c r="V388" s="41"/>
      <c r="W388" s="41"/>
      <c r="X388" s="43"/>
      <c r="Y388" s="41"/>
      <c r="Z388" s="43"/>
      <c r="AA388" s="41"/>
      <c r="AB388" s="43"/>
      <c r="AC388" s="41"/>
      <c r="AD388" s="41"/>
      <c r="AE388" s="41"/>
      <c r="AF388" s="41"/>
      <c r="AG388" s="41"/>
      <c r="AH388" s="41"/>
      <c r="AI388" s="41"/>
      <c r="AJ388" s="41"/>
      <c r="AK388" s="41"/>
      <c r="AL388" s="33">
        <f t="shared" si="287"/>
        <v>385</v>
      </c>
    </row>
    <row r="389" spans="2:38" ht="57.75" x14ac:dyDescent="0.25">
      <c r="B389" s="49">
        <v>29403</v>
      </c>
      <c r="C389" s="46" t="s">
        <v>338</v>
      </c>
      <c r="D389" s="49">
        <v>0</v>
      </c>
      <c r="E389" s="49">
        <v>30</v>
      </c>
      <c r="F389" s="63" t="s">
        <v>49</v>
      </c>
      <c r="G389" s="64" t="s">
        <v>42</v>
      </c>
      <c r="H389" s="28" t="s">
        <v>43</v>
      </c>
      <c r="I389" s="153" t="s">
        <v>44</v>
      </c>
      <c r="J389" s="154"/>
      <c r="K389" s="65">
        <v>225</v>
      </c>
      <c r="L389" s="29">
        <f t="shared" si="294"/>
        <v>6750</v>
      </c>
      <c r="M389" s="34"/>
      <c r="N389" s="35"/>
      <c r="O389" s="34"/>
      <c r="P389" s="34">
        <v>6</v>
      </c>
      <c r="Q389" s="31">
        <f>P389*K389</f>
        <v>1350</v>
      </c>
      <c r="R389" s="41"/>
      <c r="S389" s="41"/>
      <c r="T389" s="43"/>
      <c r="U389" s="41"/>
      <c r="V389" s="41">
        <v>6</v>
      </c>
      <c r="W389" s="41">
        <f>V389*K389</f>
        <v>1350</v>
      </c>
      <c r="X389" s="43"/>
      <c r="Y389" s="41"/>
      <c r="Z389" s="43">
        <v>6</v>
      </c>
      <c r="AA389" s="41">
        <f>Z389*K389</f>
        <v>1350</v>
      </c>
      <c r="AB389" s="43"/>
      <c r="AC389" s="41"/>
      <c r="AD389" s="41">
        <v>6</v>
      </c>
      <c r="AE389" s="41">
        <f>AD389*K389</f>
        <v>1350</v>
      </c>
      <c r="AF389" s="41"/>
      <c r="AG389" s="41"/>
      <c r="AH389" s="41">
        <v>6</v>
      </c>
      <c r="AI389" s="41">
        <f>AH389*K389</f>
        <v>1350</v>
      </c>
      <c r="AJ389" s="41"/>
      <c r="AK389" s="41"/>
      <c r="AL389" s="33">
        <f t="shared" si="287"/>
        <v>6750</v>
      </c>
    </row>
    <row r="390" spans="2:38" ht="57.75" x14ac:dyDescent="0.25">
      <c r="B390" s="49">
        <v>29403</v>
      </c>
      <c r="C390" s="49" t="s">
        <v>339</v>
      </c>
      <c r="D390" s="49">
        <v>0</v>
      </c>
      <c r="E390" s="49">
        <v>6</v>
      </c>
      <c r="F390" s="49" t="s">
        <v>49</v>
      </c>
      <c r="G390" s="64" t="s">
        <v>89</v>
      </c>
      <c r="H390" s="28" t="s">
        <v>43</v>
      </c>
      <c r="I390" s="143" t="s">
        <v>44</v>
      </c>
      <c r="J390" s="144"/>
      <c r="K390" s="50">
        <v>600</v>
      </c>
      <c r="L390" s="50">
        <f t="shared" si="294"/>
        <v>3600</v>
      </c>
      <c r="M390" s="51"/>
      <c r="N390" s="41"/>
      <c r="O390" s="41"/>
      <c r="P390" s="41"/>
      <c r="Q390" s="41"/>
      <c r="R390" s="41"/>
      <c r="S390" s="41"/>
      <c r="T390" s="43">
        <v>3</v>
      </c>
      <c r="U390" s="41">
        <f t="shared" ref="U390:U401" si="297">K390*T390</f>
        <v>1800</v>
      </c>
      <c r="V390" s="41"/>
      <c r="W390" s="41"/>
      <c r="X390" s="43"/>
      <c r="Y390" s="41"/>
      <c r="Z390" s="43">
        <v>3</v>
      </c>
      <c r="AA390" s="41">
        <f t="shared" ref="AA390" si="298">K390*Z390</f>
        <v>1800</v>
      </c>
      <c r="AB390" s="43"/>
      <c r="AC390" s="41"/>
      <c r="AD390" s="41"/>
      <c r="AE390" s="41"/>
      <c r="AF390" s="41"/>
      <c r="AG390" s="41"/>
      <c r="AH390" s="41"/>
      <c r="AI390" s="41"/>
      <c r="AJ390" s="41"/>
      <c r="AK390" s="41"/>
      <c r="AL390" s="33">
        <f t="shared" si="287"/>
        <v>3600</v>
      </c>
    </row>
    <row r="391" spans="2:38" ht="57.75" x14ac:dyDescent="0.25">
      <c r="B391" s="49">
        <v>29403</v>
      </c>
      <c r="C391" s="49" t="s">
        <v>340</v>
      </c>
      <c r="D391" s="49">
        <v>0</v>
      </c>
      <c r="E391" s="49">
        <v>4</v>
      </c>
      <c r="F391" s="49" t="s">
        <v>49</v>
      </c>
      <c r="G391" s="64" t="s">
        <v>89</v>
      </c>
      <c r="H391" s="28" t="s">
        <v>43</v>
      </c>
      <c r="I391" s="143" t="s">
        <v>44</v>
      </c>
      <c r="J391" s="144"/>
      <c r="K391" s="50">
        <v>700</v>
      </c>
      <c r="L391" s="50">
        <f t="shared" si="294"/>
        <v>2800</v>
      </c>
      <c r="M391" s="51"/>
      <c r="N391" s="41"/>
      <c r="O391" s="41"/>
      <c r="P391" s="41"/>
      <c r="Q391" s="41"/>
      <c r="R391" s="41">
        <v>2</v>
      </c>
      <c r="S391" s="41">
        <f t="shared" ref="S391:S397" si="299">K391*R391</f>
        <v>1400</v>
      </c>
      <c r="T391" s="43"/>
      <c r="U391" s="41"/>
      <c r="V391" s="41"/>
      <c r="W391" s="41"/>
      <c r="X391" s="43"/>
      <c r="Y391" s="41"/>
      <c r="Z391" s="43"/>
      <c r="AA391" s="41"/>
      <c r="AB391" s="43">
        <v>2</v>
      </c>
      <c r="AC391" s="41">
        <f t="shared" ref="AC391:AC394" si="300">K391*AB391</f>
        <v>1400</v>
      </c>
      <c r="AD391" s="41"/>
      <c r="AE391" s="41"/>
      <c r="AF391" s="41"/>
      <c r="AG391" s="41"/>
      <c r="AH391" s="41"/>
      <c r="AI391" s="41"/>
      <c r="AJ391" s="41"/>
      <c r="AK391" s="41"/>
      <c r="AL391" s="33">
        <f t="shared" si="287"/>
        <v>2800</v>
      </c>
    </row>
    <row r="392" spans="2:38" ht="57.75" x14ac:dyDescent="0.25">
      <c r="B392" s="49">
        <v>29403</v>
      </c>
      <c r="C392" s="49" t="s">
        <v>341</v>
      </c>
      <c r="D392" s="49">
        <v>0</v>
      </c>
      <c r="E392" s="49">
        <v>6</v>
      </c>
      <c r="F392" s="49" t="s">
        <v>49</v>
      </c>
      <c r="G392" s="64" t="s">
        <v>89</v>
      </c>
      <c r="H392" s="28" t="s">
        <v>43</v>
      </c>
      <c r="I392" s="143" t="s">
        <v>44</v>
      </c>
      <c r="J392" s="144"/>
      <c r="K392" s="50">
        <v>215</v>
      </c>
      <c r="L392" s="50">
        <f t="shared" si="294"/>
        <v>1290</v>
      </c>
      <c r="M392" s="51"/>
      <c r="N392" s="41"/>
      <c r="O392" s="41"/>
      <c r="P392" s="41"/>
      <c r="Q392" s="41"/>
      <c r="R392" s="41">
        <v>3</v>
      </c>
      <c r="S392" s="41">
        <f t="shared" si="299"/>
        <v>645</v>
      </c>
      <c r="T392" s="43">
        <v>3</v>
      </c>
      <c r="U392" s="41">
        <f t="shared" si="297"/>
        <v>645</v>
      </c>
      <c r="V392" s="41"/>
      <c r="W392" s="41"/>
      <c r="X392" s="43"/>
      <c r="Y392" s="41"/>
      <c r="Z392" s="43"/>
      <c r="AA392" s="41"/>
      <c r="AB392" s="43"/>
      <c r="AC392" s="41"/>
      <c r="AD392" s="41"/>
      <c r="AE392" s="41"/>
      <c r="AF392" s="41"/>
      <c r="AG392" s="41"/>
      <c r="AH392" s="41"/>
      <c r="AI392" s="41"/>
      <c r="AJ392" s="41"/>
      <c r="AK392" s="41"/>
      <c r="AL392" s="33">
        <f t="shared" si="287"/>
        <v>1290</v>
      </c>
    </row>
    <row r="393" spans="2:38" ht="57.75" x14ac:dyDescent="0.25">
      <c r="B393" s="49">
        <v>29403</v>
      </c>
      <c r="C393" s="49" t="s">
        <v>342</v>
      </c>
      <c r="D393" s="49">
        <v>0</v>
      </c>
      <c r="E393" s="49">
        <v>8</v>
      </c>
      <c r="F393" s="49" t="s">
        <v>49</v>
      </c>
      <c r="G393" s="64" t="s">
        <v>89</v>
      </c>
      <c r="H393" s="28" t="s">
        <v>43</v>
      </c>
      <c r="I393" s="143" t="s">
        <v>44</v>
      </c>
      <c r="J393" s="144"/>
      <c r="K393" s="50">
        <v>332.454545</v>
      </c>
      <c r="L393" s="50">
        <f t="shared" si="294"/>
        <v>2659.63636</v>
      </c>
      <c r="M393" s="51"/>
      <c r="N393" s="41"/>
      <c r="O393" s="41"/>
      <c r="P393" s="41"/>
      <c r="Q393" s="41"/>
      <c r="R393" s="41">
        <v>4</v>
      </c>
      <c r="S393" s="41">
        <f t="shared" si="299"/>
        <v>1329.81818</v>
      </c>
      <c r="T393" s="43">
        <v>4</v>
      </c>
      <c r="U393" s="41">
        <f t="shared" si="297"/>
        <v>1329.81818</v>
      </c>
      <c r="V393" s="41"/>
      <c r="W393" s="41"/>
      <c r="X393" s="43"/>
      <c r="Y393" s="41"/>
      <c r="Z393" s="43"/>
      <c r="AA393" s="41"/>
      <c r="AB393" s="43"/>
      <c r="AC393" s="41"/>
      <c r="AD393" s="41"/>
      <c r="AE393" s="41"/>
      <c r="AF393" s="41"/>
      <c r="AG393" s="41"/>
      <c r="AH393" s="41"/>
      <c r="AI393" s="41"/>
      <c r="AJ393" s="41"/>
      <c r="AK393" s="41"/>
      <c r="AL393" s="33">
        <f t="shared" si="287"/>
        <v>2659.63636</v>
      </c>
    </row>
    <row r="394" spans="2:38" ht="57.75" x14ac:dyDescent="0.25">
      <c r="B394" s="49">
        <v>29403</v>
      </c>
      <c r="C394" s="49" t="s">
        <v>343</v>
      </c>
      <c r="D394" s="49">
        <v>0</v>
      </c>
      <c r="E394" s="49">
        <v>8</v>
      </c>
      <c r="F394" s="49" t="s">
        <v>49</v>
      </c>
      <c r="G394" s="64" t="s">
        <v>89</v>
      </c>
      <c r="H394" s="28" t="s">
        <v>43</v>
      </c>
      <c r="I394" s="143" t="s">
        <v>44</v>
      </c>
      <c r="J394" s="144"/>
      <c r="K394" s="50">
        <v>150</v>
      </c>
      <c r="L394" s="50">
        <f t="shared" si="294"/>
        <v>1200</v>
      </c>
      <c r="M394" s="51"/>
      <c r="N394" s="41"/>
      <c r="O394" s="41"/>
      <c r="P394" s="41"/>
      <c r="Q394" s="41"/>
      <c r="R394" s="41"/>
      <c r="S394" s="41"/>
      <c r="T394" s="43">
        <v>4</v>
      </c>
      <c r="U394" s="41">
        <f t="shared" si="297"/>
        <v>600</v>
      </c>
      <c r="V394" s="41"/>
      <c r="W394" s="41"/>
      <c r="X394" s="43"/>
      <c r="Y394" s="41"/>
      <c r="Z394" s="43"/>
      <c r="AA394" s="41"/>
      <c r="AB394" s="43">
        <v>4</v>
      </c>
      <c r="AC394" s="41">
        <f t="shared" si="300"/>
        <v>600</v>
      </c>
      <c r="AD394" s="41"/>
      <c r="AE394" s="41"/>
      <c r="AF394" s="41"/>
      <c r="AG394" s="41"/>
      <c r="AH394" s="41"/>
      <c r="AI394" s="41"/>
      <c r="AJ394" s="41"/>
      <c r="AK394" s="41"/>
      <c r="AL394" s="33">
        <f t="shared" si="287"/>
        <v>1200</v>
      </c>
    </row>
    <row r="395" spans="2:38" ht="57.75" x14ac:dyDescent="0.25">
      <c r="B395" s="49">
        <v>29403</v>
      </c>
      <c r="C395" s="49" t="s">
        <v>344</v>
      </c>
      <c r="D395" s="49">
        <v>0</v>
      </c>
      <c r="E395" s="49">
        <v>4</v>
      </c>
      <c r="F395" s="49" t="s">
        <v>49</v>
      </c>
      <c r="G395" s="64" t="s">
        <v>89</v>
      </c>
      <c r="H395" s="28" t="s">
        <v>43</v>
      </c>
      <c r="I395" s="143" t="s">
        <v>44</v>
      </c>
      <c r="J395" s="144"/>
      <c r="K395" s="50">
        <v>250</v>
      </c>
      <c r="L395" s="50">
        <f t="shared" si="294"/>
        <v>1000</v>
      </c>
      <c r="M395" s="51"/>
      <c r="N395" s="41"/>
      <c r="O395" s="41"/>
      <c r="P395" s="41"/>
      <c r="Q395" s="41"/>
      <c r="R395" s="41"/>
      <c r="S395" s="41"/>
      <c r="T395" s="43">
        <v>4</v>
      </c>
      <c r="U395" s="41">
        <f t="shared" si="297"/>
        <v>1000</v>
      </c>
      <c r="V395" s="41"/>
      <c r="W395" s="41"/>
      <c r="X395" s="43"/>
      <c r="Y395" s="41"/>
      <c r="Z395" s="43"/>
      <c r="AA395" s="41"/>
      <c r="AB395" s="43"/>
      <c r="AC395" s="41"/>
      <c r="AD395" s="41"/>
      <c r="AE395" s="41"/>
      <c r="AF395" s="41"/>
      <c r="AG395" s="41"/>
      <c r="AH395" s="41"/>
      <c r="AI395" s="41"/>
      <c r="AJ395" s="41"/>
      <c r="AK395" s="41"/>
      <c r="AL395" s="33">
        <f t="shared" si="287"/>
        <v>1000</v>
      </c>
    </row>
    <row r="396" spans="2:38" ht="57.75" x14ac:dyDescent="0.25">
      <c r="B396" s="49">
        <v>29403</v>
      </c>
      <c r="C396" s="49" t="s">
        <v>345</v>
      </c>
      <c r="D396" s="49">
        <v>0</v>
      </c>
      <c r="E396" s="49">
        <v>2</v>
      </c>
      <c r="F396" s="49" t="s">
        <v>316</v>
      </c>
      <c r="G396" s="64" t="s">
        <v>89</v>
      </c>
      <c r="H396" s="28" t="s">
        <v>43</v>
      </c>
      <c r="I396" s="143" t="s">
        <v>44</v>
      </c>
      <c r="J396" s="144"/>
      <c r="K396" s="50">
        <v>484.5</v>
      </c>
      <c r="L396" s="50">
        <f t="shared" si="294"/>
        <v>969</v>
      </c>
      <c r="M396" s="51"/>
      <c r="N396" s="41"/>
      <c r="O396" s="41"/>
      <c r="P396" s="41"/>
      <c r="Q396" s="41"/>
      <c r="R396" s="41"/>
      <c r="S396" s="41"/>
      <c r="T396" s="43">
        <v>2</v>
      </c>
      <c r="U396" s="41">
        <f t="shared" si="297"/>
        <v>969</v>
      </c>
      <c r="V396" s="41"/>
      <c r="W396" s="41"/>
      <c r="X396" s="43"/>
      <c r="Y396" s="41"/>
      <c r="Z396" s="43"/>
      <c r="AA396" s="41"/>
      <c r="AB396" s="43"/>
      <c r="AC396" s="41"/>
      <c r="AD396" s="41"/>
      <c r="AE396" s="41"/>
      <c r="AF396" s="41"/>
      <c r="AG396" s="41"/>
      <c r="AH396" s="41"/>
      <c r="AI396" s="41"/>
      <c r="AJ396" s="41"/>
      <c r="AK396" s="41"/>
      <c r="AL396" s="33">
        <f t="shared" si="287"/>
        <v>969</v>
      </c>
    </row>
    <row r="397" spans="2:38" ht="57.75" x14ac:dyDescent="0.25">
      <c r="B397" s="14">
        <v>29403</v>
      </c>
      <c r="C397" s="26" t="s">
        <v>346</v>
      </c>
      <c r="D397" s="26">
        <v>0</v>
      </c>
      <c r="E397" s="26">
        <v>1</v>
      </c>
      <c r="F397" s="14" t="s">
        <v>546</v>
      </c>
      <c r="G397" s="27" t="s">
        <v>89</v>
      </c>
      <c r="H397" s="28" t="s">
        <v>43</v>
      </c>
      <c r="I397" s="143" t="s">
        <v>44</v>
      </c>
      <c r="J397" s="144"/>
      <c r="K397" s="17">
        <v>65303</v>
      </c>
      <c r="L397" s="17">
        <f t="shared" si="294"/>
        <v>65303</v>
      </c>
      <c r="M397" s="40"/>
      <c r="N397" s="41"/>
      <c r="O397" s="41"/>
      <c r="P397" s="41"/>
      <c r="Q397" s="41"/>
      <c r="R397" s="41">
        <v>4</v>
      </c>
      <c r="S397" s="41">
        <f t="shared" si="299"/>
        <v>261212</v>
      </c>
      <c r="T397" s="43">
        <v>0</v>
      </c>
      <c r="U397" s="41">
        <v>0</v>
      </c>
      <c r="V397" s="41">
        <v>4</v>
      </c>
      <c r="W397" s="41">
        <f t="shared" ref="W397" si="301">K397*V397</f>
        <v>261212</v>
      </c>
      <c r="X397" s="43"/>
      <c r="Y397" s="41"/>
      <c r="Z397" s="43"/>
      <c r="AA397" s="41"/>
      <c r="AB397" s="43"/>
      <c r="AC397" s="41"/>
      <c r="AD397" s="41"/>
      <c r="AE397" s="41"/>
      <c r="AF397" s="41"/>
      <c r="AG397" s="41"/>
      <c r="AH397" s="41"/>
      <c r="AI397" s="41"/>
      <c r="AJ397" s="41"/>
      <c r="AK397" s="41"/>
      <c r="AL397" s="33">
        <f t="shared" si="287"/>
        <v>522424</v>
      </c>
    </row>
    <row r="398" spans="2:38" ht="56.25" customHeight="1" x14ac:dyDescent="0.25">
      <c r="B398" s="14">
        <v>29403</v>
      </c>
      <c r="C398" s="37" t="s">
        <v>347</v>
      </c>
      <c r="D398" s="49">
        <v>0</v>
      </c>
      <c r="E398" s="49">
        <v>4</v>
      </c>
      <c r="F398" s="49" t="s">
        <v>226</v>
      </c>
      <c r="G398" s="27" t="s">
        <v>89</v>
      </c>
      <c r="H398" s="28" t="s">
        <v>43</v>
      </c>
      <c r="I398" s="155" t="s">
        <v>44</v>
      </c>
      <c r="J398" s="156"/>
      <c r="K398" s="92">
        <v>400.9</v>
      </c>
      <c r="L398" s="29">
        <f t="shared" si="294"/>
        <v>1603.6</v>
      </c>
      <c r="M398" s="40"/>
      <c r="N398" s="41"/>
      <c r="O398" s="41"/>
      <c r="P398" s="41"/>
      <c r="Q398" s="41"/>
      <c r="R398" s="41"/>
      <c r="S398" s="41"/>
      <c r="T398" s="43"/>
      <c r="U398" s="41"/>
      <c r="V398" s="41"/>
      <c r="W398" s="41"/>
      <c r="X398" s="43">
        <v>4</v>
      </c>
      <c r="Y398" s="41">
        <f>X398*K398</f>
        <v>1603.6</v>
      </c>
      <c r="Z398" s="43"/>
      <c r="AA398" s="41"/>
      <c r="AB398" s="43"/>
      <c r="AC398" s="41"/>
      <c r="AD398" s="41"/>
      <c r="AE398" s="41"/>
      <c r="AF398" s="41"/>
      <c r="AG398" s="41"/>
      <c r="AH398" s="41"/>
      <c r="AI398" s="41"/>
      <c r="AJ398" s="41"/>
      <c r="AK398" s="41"/>
      <c r="AL398" s="33">
        <f t="shared" si="287"/>
        <v>1603.6</v>
      </c>
    </row>
    <row r="399" spans="2:38" ht="56.25" customHeight="1" x14ac:dyDescent="0.25">
      <c r="B399" s="14">
        <v>29403</v>
      </c>
      <c r="C399" s="37" t="s">
        <v>348</v>
      </c>
      <c r="D399" s="49">
        <v>0</v>
      </c>
      <c r="E399" s="49">
        <v>10</v>
      </c>
      <c r="F399" s="49" t="s">
        <v>226</v>
      </c>
      <c r="G399" s="27" t="s">
        <v>89</v>
      </c>
      <c r="H399" s="28" t="s">
        <v>43</v>
      </c>
      <c r="I399" s="155" t="s">
        <v>44</v>
      </c>
      <c r="J399" s="156"/>
      <c r="K399" s="92">
        <v>297.44</v>
      </c>
      <c r="L399" s="29">
        <f t="shared" si="294"/>
        <v>2974.4</v>
      </c>
      <c r="M399" s="40"/>
      <c r="N399" s="41"/>
      <c r="O399" s="41"/>
      <c r="P399" s="41"/>
      <c r="Q399" s="41"/>
      <c r="R399" s="41"/>
      <c r="S399" s="41"/>
      <c r="T399" s="43">
        <v>4</v>
      </c>
      <c r="U399" s="41">
        <f>T399*K399</f>
        <v>1189.76</v>
      </c>
      <c r="V399" s="41"/>
      <c r="W399" s="41"/>
      <c r="X399" s="43"/>
      <c r="Y399" s="41"/>
      <c r="Z399" s="43"/>
      <c r="AA399" s="41"/>
      <c r="AB399" s="43"/>
      <c r="AC399" s="41"/>
      <c r="AD399" s="41"/>
      <c r="AE399" s="41"/>
      <c r="AF399" s="41"/>
      <c r="AG399" s="41"/>
      <c r="AH399" s="41"/>
      <c r="AI399" s="41"/>
      <c r="AJ399" s="41"/>
      <c r="AK399" s="41"/>
      <c r="AL399" s="33">
        <f t="shared" si="287"/>
        <v>1189.76</v>
      </c>
    </row>
    <row r="400" spans="2:38" ht="56.25" customHeight="1" x14ac:dyDescent="0.25">
      <c r="B400" s="14">
        <v>29403</v>
      </c>
      <c r="C400" s="46" t="s">
        <v>349</v>
      </c>
      <c r="D400" s="49">
        <v>0</v>
      </c>
      <c r="E400" s="12">
        <v>10</v>
      </c>
      <c r="F400" s="49" t="s">
        <v>226</v>
      </c>
      <c r="G400" s="27" t="s">
        <v>89</v>
      </c>
      <c r="H400" s="28" t="s">
        <v>43</v>
      </c>
      <c r="I400" s="155" t="s">
        <v>44</v>
      </c>
      <c r="J400" s="156"/>
      <c r="K400" s="92">
        <v>129</v>
      </c>
      <c r="L400" s="29">
        <f t="shared" si="294"/>
        <v>1290</v>
      </c>
      <c r="M400" s="40"/>
      <c r="N400" s="41"/>
      <c r="O400" s="41"/>
      <c r="P400" s="41"/>
      <c r="Q400" s="41"/>
      <c r="R400" s="41"/>
      <c r="S400" s="41"/>
      <c r="T400" s="43">
        <v>5</v>
      </c>
      <c r="U400" s="41">
        <f>T400*K400</f>
        <v>645</v>
      </c>
      <c r="V400" s="41"/>
      <c r="W400" s="41"/>
      <c r="X400" s="43"/>
      <c r="Y400" s="41"/>
      <c r="Z400" s="43">
        <v>5</v>
      </c>
      <c r="AA400" s="41">
        <f>Y400*K400</f>
        <v>0</v>
      </c>
      <c r="AB400" s="43"/>
      <c r="AC400" s="41"/>
      <c r="AD400" s="41"/>
      <c r="AE400" s="41"/>
      <c r="AF400" s="41"/>
      <c r="AG400" s="41"/>
      <c r="AH400" s="41"/>
      <c r="AI400" s="41"/>
      <c r="AJ400" s="41"/>
      <c r="AK400" s="41"/>
      <c r="AL400" s="33">
        <f t="shared" si="287"/>
        <v>645</v>
      </c>
    </row>
    <row r="401" spans="2:40" ht="57.75" x14ac:dyDescent="0.25">
      <c r="B401" s="14">
        <v>29403</v>
      </c>
      <c r="C401" s="14" t="s">
        <v>350</v>
      </c>
      <c r="D401" s="49">
        <v>0</v>
      </c>
      <c r="E401" s="14">
        <v>8</v>
      </c>
      <c r="F401" s="14" t="s">
        <v>49</v>
      </c>
      <c r="G401" s="27" t="s">
        <v>89</v>
      </c>
      <c r="H401" s="28" t="s">
        <v>43</v>
      </c>
      <c r="I401" s="143" t="s">
        <v>44</v>
      </c>
      <c r="J401" s="144"/>
      <c r="K401" s="17">
        <v>1100</v>
      </c>
      <c r="L401" s="17">
        <f t="shared" si="294"/>
        <v>8800</v>
      </c>
      <c r="M401" s="40"/>
      <c r="N401" s="41"/>
      <c r="O401" s="41"/>
      <c r="P401" s="41"/>
      <c r="Q401" s="41"/>
      <c r="R401" s="41"/>
      <c r="S401" s="41"/>
      <c r="T401" s="43">
        <v>4</v>
      </c>
      <c r="U401" s="41">
        <f t="shared" si="297"/>
        <v>4400</v>
      </c>
      <c r="V401" s="41"/>
      <c r="W401" s="41"/>
      <c r="X401" s="43"/>
      <c r="Y401" s="41"/>
      <c r="Z401" s="43"/>
      <c r="AA401" s="41"/>
      <c r="AB401" s="43"/>
      <c r="AC401" s="41"/>
      <c r="AD401" s="41">
        <v>4</v>
      </c>
      <c r="AE401" s="41">
        <f>AD401*K401</f>
        <v>4400</v>
      </c>
      <c r="AF401" s="41"/>
      <c r="AG401" s="41"/>
      <c r="AH401" s="41">
        <f t="shared" ref="AH401" si="302">E401/12</f>
        <v>0.66666666666666663</v>
      </c>
      <c r="AI401" s="41">
        <f t="shared" ref="AI401" si="303">K401*AH401</f>
        <v>733.33333333333326</v>
      </c>
      <c r="AJ401" s="41">
        <f t="shared" ref="AJ401" si="304">E401/12</f>
        <v>0.66666666666666663</v>
      </c>
      <c r="AK401" s="41">
        <f t="shared" ref="AK401" si="305">K401*AJ401</f>
        <v>733.33333333333326</v>
      </c>
      <c r="AL401" s="33">
        <f t="shared" si="287"/>
        <v>10266.666666666668</v>
      </c>
    </row>
    <row r="402" spans="2:40" s="83" customFormat="1" x14ac:dyDescent="0.25">
      <c r="B402" s="19">
        <v>29600</v>
      </c>
      <c r="C402" s="19"/>
      <c r="D402" s="19"/>
      <c r="E402" s="19"/>
      <c r="F402" s="19"/>
      <c r="G402" s="58"/>
      <c r="H402" s="59"/>
      <c r="I402" s="145"/>
      <c r="J402" s="146"/>
      <c r="K402" s="20"/>
      <c r="L402" s="81">
        <f>L403+L409+L441+L429+L431+L437+L433+L435+L439</f>
        <v>422434.35000000003</v>
      </c>
      <c r="M402" s="127">
        <f>M403+M409+M441+M429+M431+M437+M439</f>
        <v>344003</v>
      </c>
      <c r="N402" s="41"/>
      <c r="O402" s="41"/>
      <c r="P402" s="41"/>
      <c r="Q402" s="41"/>
      <c r="R402" s="41"/>
      <c r="S402" s="41"/>
      <c r="T402" s="43"/>
      <c r="U402" s="41"/>
      <c r="V402" s="41"/>
      <c r="W402" s="41"/>
      <c r="X402" s="43"/>
      <c r="Y402" s="41"/>
      <c r="Z402" s="43"/>
      <c r="AA402" s="41"/>
      <c r="AB402" s="43"/>
      <c r="AC402" s="41"/>
      <c r="AD402" s="41"/>
      <c r="AE402" s="41"/>
      <c r="AF402" s="41"/>
      <c r="AG402" s="41"/>
      <c r="AH402" s="41"/>
      <c r="AI402" s="41"/>
      <c r="AJ402" s="41"/>
      <c r="AK402" s="41"/>
      <c r="AL402" s="115"/>
      <c r="AM402" s="108"/>
      <c r="AN402" s="108"/>
    </row>
    <row r="403" spans="2:40" x14ac:dyDescent="0.25">
      <c r="B403" s="19">
        <v>29601</v>
      </c>
      <c r="C403" s="19"/>
      <c r="D403" s="19"/>
      <c r="E403" s="19"/>
      <c r="F403" s="19"/>
      <c r="G403" s="58"/>
      <c r="H403" s="59"/>
      <c r="I403" s="145"/>
      <c r="J403" s="146"/>
      <c r="K403" s="20"/>
      <c r="L403" s="21">
        <f>SUM(L404:L408)</f>
        <v>79953.2</v>
      </c>
      <c r="M403" s="60">
        <v>75000</v>
      </c>
      <c r="N403" s="41"/>
      <c r="O403" s="41"/>
      <c r="P403" s="41"/>
      <c r="Q403" s="41"/>
      <c r="R403" s="41"/>
      <c r="S403" s="41"/>
      <c r="T403" s="43"/>
      <c r="U403" s="41"/>
      <c r="V403" s="41"/>
      <c r="W403" s="41"/>
      <c r="X403" s="43"/>
      <c r="Y403" s="41"/>
      <c r="Z403" s="43"/>
      <c r="AA403" s="41"/>
      <c r="AB403" s="43"/>
      <c r="AC403" s="41"/>
      <c r="AD403" s="41"/>
      <c r="AE403" s="41"/>
      <c r="AF403" s="41"/>
      <c r="AG403" s="41"/>
      <c r="AH403" s="41"/>
      <c r="AI403" s="41"/>
      <c r="AJ403" s="41"/>
      <c r="AK403" s="41"/>
      <c r="AL403" s="33"/>
    </row>
    <row r="404" spans="2:40" ht="57.75" x14ac:dyDescent="0.25">
      <c r="B404" s="49">
        <v>29601</v>
      </c>
      <c r="C404" s="49" t="s">
        <v>351</v>
      </c>
      <c r="D404" s="49">
        <v>0</v>
      </c>
      <c r="E404" s="49">
        <v>10</v>
      </c>
      <c r="F404" s="49" t="s">
        <v>49</v>
      </c>
      <c r="G404" s="64" t="s">
        <v>89</v>
      </c>
      <c r="H404" s="91" t="s">
        <v>43</v>
      </c>
      <c r="I404" s="153" t="s">
        <v>44</v>
      </c>
      <c r="J404" s="154"/>
      <c r="K404" s="50">
        <v>4300</v>
      </c>
      <c r="L404" s="50">
        <f>E404*K404</f>
        <v>43000</v>
      </c>
      <c r="M404" s="51"/>
      <c r="N404" s="41">
        <f t="shared" ref="N404" si="306">E404/12</f>
        <v>0.83333333333333337</v>
      </c>
      <c r="O404" s="41">
        <f t="shared" ref="O404:O407" si="307">N404*K404</f>
        <v>3583.3333333333335</v>
      </c>
      <c r="P404" s="41">
        <f t="shared" ref="P404" si="308">E404/12</f>
        <v>0.83333333333333337</v>
      </c>
      <c r="Q404" s="41">
        <f t="shared" ref="Q404:Q408" si="309">K404*P404</f>
        <v>3583.3333333333335</v>
      </c>
      <c r="R404" s="41">
        <f t="shared" ref="R404" si="310">E404/12</f>
        <v>0.83333333333333337</v>
      </c>
      <c r="S404" s="41">
        <f t="shared" ref="S404:S405" si="311">K404*R404</f>
        <v>3583.3333333333335</v>
      </c>
      <c r="T404" s="43">
        <f t="shared" ref="T404" si="312">E404/12</f>
        <v>0.83333333333333337</v>
      </c>
      <c r="U404" s="41">
        <f t="shared" ref="U404:U408" si="313">K404*T404</f>
        <v>3583.3333333333335</v>
      </c>
      <c r="V404" s="41">
        <f t="shared" ref="V404" si="314">E404/12</f>
        <v>0.83333333333333337</v>
      </c>
      <c r="W404" s="41">
        <f t="shared" ref="W404:W408" si="315">K404*V404</f>
        <v>3583.3333333333335</v>
      </c>
      <c r="X404" s="43">
        <f t="shared" ref="X404" si="316">E404/12</f>
        <v>0.83333333333333337</v>
      </c>
      <c r="Y404" s="41">
        <f t="shared" ref="Y404:Y408" si="317">K404*X404</f>
        <v>3583.3333333333335</v>
      </c>
      <c r="Z404" s="43">
        <f t="shared" ref="Z404" si="318">E404/12</f>
        <v>0.83333333333333337</v>
      </c>
      <c r="AA404" s="41">
        <f t="shared" ref="AA404:AA408" si="319">K404*Z404</f>
        <v>3583.3333333333335</v>
      </c>
      <c r="AB404" s="43">
        <f t="shared" ref="AB404" si="320">E404/12</f>
        <v>0.83333333333333337</v>
      </c>
      <c r="AC404" s="41">
        <f t="shared" ref="AC404:AC408" si="321">K404*AB404</f>
        <v>3583.3333333333335</v>
      </c>
      <c r="AD404" s="41">
        <f t="shared" ref="AD404" si="322">E404/12</f>
        <v>0.83333333333333337</v>
      </c>
      <c r="AE404" s="41">
        <f t="shared" ref="AE404:AE407" si="323">K404*AD404</f>
        <v>3583.3333333333335</v>
      </c>
      <c r="AF404" s="41">
        <f t="shared" ref="AF404" si="324">E404/12</f>
        <v>0.83333333333333337</v>
      </c>
      <c r="AG404" s="41">
        <f t="shared" ref="AG404:AG408" si="325">K404*AF404</f>
        <v>3583.3333333333335</v>
      </c>
      <c r="AH404" s="41">
        <f t="shared" ref="AH404" si="326">E404/12</f>
        <v>0.83333333333333337</v>
      </c>
      <c r="AI404" s="41">
        <f t="shared" ref="AI404:AI408" si="327">K404*AH404</f>
        <v>3583.3333333333335</v>
      </c>
      <c r="AJ404" s="41">
        <f t="shared" ref="AJ404" si="328">E404/12</f>
        <v>0.83333333333333337</v>
      </c>
      <c r="AK404" s="41">
        <f t="shared" ref="AK404:AK408" si="329">K404*AJ404</f>
        <v>3583.3333333333335</v>
      </c>
      <c r="AL404" s="33">
        <f t="shared" si="287"/>
        <v>43000</v>
      </c>
    </row>
    <row r="405" spans="2:40" ht="57.75" x14ac:dyDescent="0.25">
      <c r="B405" s="49">
        <v>29601</v>
      </c>
      <c r="C405" s="26" t="s">
        <v>352</v>
      </c>
      <c r="D405" s="26">
        <v>0</v>
      </c>
      <c r="E405" s="26">
        <v>1</v>
      </c>
      <c r="F405" s="49" t="s">
        <v>546</v>
      </c>
      <c r="G405" s="64" t="s">
        <v>89</v>
      </c>
      <c r="H405" s="28" t="s">
        <v>43</v>
      </c>
      <c r="I405" s="143" t="s">
        <v>44</v>
      </c>
      <c r="J405" s="144"/>
      <c r="K405" s="50">
        <v>4771.2</v>
      </c>
      <c r="L405" s="50">
        <f>E405*K405</f>
        <v>4771.2</v>
      </c>
      <c r="M405" s="51"/>
      <c r="N405" s="41">
        <v>0</v>
      </c>
      <c r="O405" s="41">
        <f t="shared" si="307"/>
        <v>0</v>
      </c>
      <c r="P405" s="41">
        <v>0</v>
      </c>
      <c r="Q405" s="41">
        <f t="shared" si="309"/>
        <v>0</v>
      </c>
      <c r="R405" s="41">
        <v>2</v>
      </c>
      <c r="S405" s="41">
        <f t="shared" si="311"/>
        <v>9542.4</v>
      </c>
      <c r="T405" s="43">
        <v>0</v>
      </c>
      <c r="U405" s="41">
        <v>0</v>
      </c>
      <c r="V405" s="41">
        <v>1</v>
      </c>
      <c r="W405" s="41">
        <f t="shared" si="315"/>
        <v>4771.2</v>
      </c>
      <c r="X405" s="43">
        <v>0</v>
      </c>
      <c r="Y405" s="41">
        <v>0</v>
      </c>
      <c r="Z405" s="43">
        <v>0</v>
      </c>
      <c r="AA405" s="41">
        <f t="shared" si="319"/>
        <v>0</v>
      </c>
      <c r="AB405" s="43">
        <v>2</v>
      </c>
      <c r="AC405" s="41">
        <f t="shared" si="321"/>
        <v>9542.4</v>
      </c>
      <c r="AD405" s="41">
        <v>0</v>
      </c>
      <c r="AE405" s="41">
        <f t="shared" si="323"/>
        <v>0</v>
      </c>
      <c r="AF405" s="41">
        <v>0</v>
      </c>
      <c r="AG405" s="41">
        <f t="shared" si="325"/>
        <v>0</v>
      </c>
      <c r="AH405" s="41">
        <v>0</v>
      </c>
      <c r="AI405" s="41">
        <v>0</v>
      </c>
      <c r="AJ405" s="41">
        <v>0</v>
      </c>
      <c r="AK405" s="41">
        <f t="shared" si="329"/>
        <v>0</v>
      </c>
      <c r="AL405" s="33">
        <f t="shared" si="287"/>
        <v>23856</v>
      </c>
    </row>
    <row r="406" spans="2:40" ht="57.75" x14ac:dyDescent="0.25">
      <c r="B406" s="49">
        <v>29601</v>
      </c>
      <c r="C406" s="49" t="s">
        <v>353</v>
      </c>
      <c r="D406" s="49">
        <v>0</v>
      </c>
      <c r="E406" s="49">
        <v>10</v>
      </c>
      <c r="F406" s="49" t="s">
        <v>49</v>
      </c>
      <c r="G406" s="64" t="s">
        <v>89</v>
      </c>
      <c r="H406" s="28" t="s">
        <v>43</v>
      </c>
      <c r="I406" s="143" t="s">
        <v>44</v>
      </c>
      <c r="J406" s="144"/>
      <c r="K406" s="50">
        <v>466</v>
      </c>
      <c r="L406" s="50">
        <f>E406*K406</f>
        <v>4660</v>
      </c>
      <c r="M406" s="51"/>
      <c r="N406" s="41">
        <v>0</v>
      </c>
      <c r="O406" s="41">
        <v>0</v>
      </c>
      <c r="P406" s="41">
        <v>3</v>
      </c>
      <c r="Q406" s="41">
        <f t="shared" si="309"/>
        <v>1398</v>
      </c>
      <c r="R406" s="41">
        <v>0</v>
      </c>
      <c r="S406" s="41">
        <v>0</v>
      </c>
      <c r="T406" s="43">
        <v>3</v>
      </c>
      <c r="U406" s="41">
        <f t="shared" si="313"/>
        <v>1398</v>
      </c>
      <c r="V406" s="41">
        <v>0</v>
      </c>
      <c r="W406" s="41">
        <f t="shared" si="315"/>
        <v>0</v>
      </c>
      <c r="X406" s="43">
        <v>0</v>
      </c>
      <c r="Y406" s="41">
        <f t="shared" si="317"/>
        <v>0</v>
      </c>
      <c r="Z406" s="43">
        <v>2</v>
      </c>
      <c r="AA406" s="41">
        <f t="shared" si="319"/>
        <v>932</v>
      </c>
      <c r="AB406" s="43">
        <v>0</v>
      </c>
      <c r="AC406" s="41">
        <f t="shared" si="321"/>
        <v>0</v>
      </c>
      <c r="AD406" s="41">
        <v>2</v>
      </c>
      <c r="AE406" s="41">
        <f t="shared" si="323"/>
        <v>932</v>
      </c>
      <c r="AF406" s="41">
        <v>0</v>
      </c>
      <c r="AG406" s="41">
        <f t="shared" si="325"/>
        <v>0</v>
      </c>
      <c r="AH406" s="41">
        <v>0</v>
      </c>
      <c r="AI406" s="41">
        <f t="shared" si="327"/>
        <v>0</v>
      </c>
      <c r="AJ406" s="41">
        <v>0</v>
      </c>
      <c r="AK406" s="41">
        <f t="shared" si="329"/>
        <v>0</v>
      </c>
      <c r="AL406" s="33">
        <f t="shared" si="287"/>
        <v>4660</v>
      </c>
    </row>
    <row r="407" spans="2:40" ht="57.75" x14ac:dyDescent="0.25">
      <c r="B407" s="49">
        <v>29601</v>
      </c>
      <c r="C407" s="49" t="s">
        <v>354</v>
      </c>
      <c r="D407" s="49">
        <v>0</v>
      </c>
      <c r="E407" s="49">
        <v>4</v>
      </c>
      <c r="F407" s="49" t="s">
        <v>49</v>
      </c>
      <c r="G407" s="64" t="s">
        <v>89</v>
      </c>
      <c r="H407" s="28" t="s">
        <v>43</v>
      </c>
      <c r="I407" s="143" t="s">
        <v>44</v>
      </c>
      <c r="J407" s="144"/>
      <c r="K407" s="50">
        <v>1210.5</v>
      </c>
      <c r="L407" s="50">
        <f>E407*K407</f>
        <v>4842</v>
      </c>
      <c r="M407" s="51"/>
      <c r="N407" s="41">
        <v>0</v>
      </c>
      <c r="O407" s="41">
        <f t="shared" si="307"/>
        <v>0</v>
      </c>
      <c r="P407" s="41">
        <v>2</v>
      </c>
      <c r="Q407" s="41">
        <f t="shared" si="309"/>
        <v>2421</v>
      </c>
      <c r="R407" s="41">
        <v>0</v>
      </c>
      <c r="S407" s="41">
        <v>0</v>
      </c>
      <c r="T407" s="43">
        <v>0</v>
      </c>
      <c r="U407" s="41">
        <f t="shared" si="313"/>
        <v>0</v>
      </c>
      <c r="V407" s="41">
        <v>0</v>
      </c>
      <c r="W407" s="41">
        <f t="shared" si="315"/>
        <v>0</v>
      </c>
      <c r="X407" s="43">
        <v>2</v>
      </c>
      <c r="Y407" s="41">
        <f t="shared" si="317"/>
        <v>2421</v>
      </c>
      <c r="Z407" s="43">
        <v>0</v>
      </c>
      <c r="AA407" s="41">
        <f t="shared" si="319"/>
        <v>0</v>
      </c>
      <c r="AB407" s="43">
        <v>0</v>
      </c>
      <c r="AC407" s="41">
        <f t="shared" si="321"/>
        <v>0</v>
      </c>
      <c r="AD407" s="41">
        <v>0</v>
      </c>
      <c r="AE407" s="41">
        <f t="shared" si="323"/>
        <v>0</v>
      </c>
      <c r="AF407" s="41">
        <v>0</v>
      </c>
      <c r="AG407" s="41">
        <f t="shared" si="325"/>
        <v>0</v>
      </c>
      <c r="AH407" s="41">
        <v>0</v>
      </c>
      <c r="AI407" s="41">
        <f t="shared" si="327"/>
        <v>0</v>
      </c>
      <c r="AJ407" s="41">
        <v>0</v>
      </c>
      <c r="AK407" s="41">
        <f t="shared" si="329"/>
        <v>0</v>
      </c>
      <c r="AL407" s="33">
        <f t="shared" si="287"/>
        <v>4842</v>
      </c>
    </row>
    <row r="408" spans="2:40" ht="57.75" x14ac:dyDescent="0.25">
      <c r="B408" s="49">
        <v>29601</v>
      </c>
      <c r="C408" s="49" t="s">
        <v>355</v>
      </c>
      <c r="D408" s="49">
        <v>0</v>
      </c>
      <c r="E408" s="49">
        <v>36</v>
      </c>
      <c r="F408" s="49" t="s">
        <v>206</v>
      </c>
      <c r="G408" s="64" t="s">
        <v>89</v>
      </c>
      <c r="H408" s="28" t="s">
        <v>43</v>
      </c>
      <c r="I408" s="143" t="s">
        <v>44</v>
      </c>
      <c r="J408" s="144"/>
      <c r="K408" s="50">
        <v>630</v>
      </c>
      <c r="L408" s="50">
        <f>E408*K408</f>
        <v>22680</v>
      </c>
      <c r="M408" s="51"/>
      <c r="N408" s="41">
        <v>0</v>
      </c>
      <c r="O408" s="41">
        <v>0</v>
      </c>
      <c r="P408" s="41">
        <v>6</v>
      </c>
      <c r="Q408" s="41">
        <f t="shared" si="309"/>
        <v>3780</v>
      </c>
      <c r="R408" s="41">
        <v>0</v>
      </c>
      <c r="S408" s="41">
        <v>0</v>
      </c>
      <c r="T408" s="43">
        <v>6</v>
      </c>
      <c r="U408" s="41">
        <f t="shared" si="313"/>
        <v>3780</v>
      </c>
      <c r="V408" s="41">
        <v>0</v>
      </c>
      <c r="W408" s="41">
        <f t="shared" si="315"/>
        <v>0</v>
      </c>
      <c r="X408" s="43">
        <v>6</v>
      </c>
      <c r="Y408" s="41">
        <f t="shared" si="317"/>
        <v>3780</v>
      </c>
      <c r="Z408" s="43">
        <v>0</v>
      </c>
      <c r="AA408" s="41">
        <f t="shared" si="319"/>
        <v>0</v>
      </c>
      <c r="AB408" s="43">
        <v>6</v>
      </c>
      <c r="AC408" s="41">
        <f t="shared" si="321"/>
        <v>3780</v>
      </c>
      <c r="AD408" s="41">
        <v>0</v>
      </c>
      <c r="AE408" s="41">
        <v>0</v>
      </c>
      <c r="AF408" s="41">
        <v>6</v>
      </c>
      <c r="AG408" s="41">
        <f t="shared" si="325"/>
        <v>3780</v>
      </c>
      <c r="AH408" s="41">
        <v>0</v>
      </c>
      <c r="AI408" s="41">
        <f t="shared" si="327"/>
        <v>0</v>
      </c>
      <c r="AJ408" s="41">
        <v>0</v>
      </c>
      <c r="AK408" s="41">
        <f t="shared" si="329"/>
        <v>0</v>
      </c>
      <c r="AL408" s="33">
        <f t="shared" si="287"/>
        <v>18900</v>
      </c>
    </row>
    <row r="409" spans="2:40" x14ac:dyDescent="0.25">
      <c r="B409" s="19">
        <v>29602</v>
      </c>
      <c r="C409" s="19"/>
      <c r="D409" s="19"/>
      <c r="E409" s="19"/>
      <c r="F409" s="19"/>
      <c r="G409" s="58"/>
      <c r="H409" s="68"/>
      <c r="I409" s="145"/>
      <c r="J409" s="146"/>
      <c r="K409" s="20"/>
      <c r="L409" s="21">
        <f>SUM(L410:L428)</f>
        <v>185463.19</v>
      </c>
      <c r="M409" s="44">
        <v>85000</v>
      </c>
      <c r="N409" s="41"/>
      <c r="O409" s="41"/>
      <c r="P409" s="41"/>
      <c r="Q409" s="41"/>
      <c r="R409" s="41"/>
      <c r="S409" s="41"/>
      <c r="T409" s="43"/>
      <c r="U409" s="41"/>
      <c r="V409" s="41"/>
      <c r="W409" s="41"/>
      <c r="X409" s="43"/>
      <c r="Y409" s="41"/>
      <c r="Z409" s="43"/>
      <c r="AA409" s="41"/>
      <c r="AB409" s="43"/>
      <c r="AC409" s="41"/>
      <c r="AD409" s="41"/>
      <c r="AE409" s="41"/>
      <c r="AF409" s="41"/>
      <c r="AG409" s="41"/>
      <c r="AH409" s="41"/>
      <c r="AI409" s="41"/>
      <c r="AJ409" s="41"/>
      <c r="AK409" s="41"/>
      <c r="AL409" s="33"/>
    </row>
    <row r="410" spans="2:40" ht="57.75" x14ac:dyDescent="0.25">
      <c r="B410" s="49">
        <v>29602</v>
      </c>
      <c r="C410" s="26" t="s">
        <v>356</v>
      </c>
      <c r="D410" s="26">
        <v>0</v>
      </c>
      <c r="E410" s="26">
        <v>1</v>
      </c>
      <c r="F410" s="49" t="s">
        <v>546</v>
      </c>
      <c r="G410" s="27" t="s">
        <v>89</v>
      </c>
      <c r="H410" s="28" t="s">
        <v>43</v>
      </c>
      <c r="I410" s="143" t="s">
        <v>44</v>
      </c>
      <c r="J410" s="144"/>
      <c r="K410" s="50">
        <v>2451.69</v>
      </c>
      <c r="L410" s="50">
        <f t="shared" ref="L410:L428" si="330">E410*K410</f>
        <v>2451.69</v>
      </c>
      <c r="M410" s="51"/>
      <c r="N410" s="41">
        <v>0</v>
      </c>
      <c r="O410" s="41">
        <v>0</v>
      </c>
      <c r="P410" s="41">
        <v>5</v>
      </c>
      <c r="Q410" s="41">
        <f t="shared" ref="Q410:Q423" si="331">K410*P410</f>
        <v>12258.45</v>
      </c>
      <c r="R410" s="41">
        <v>0</v>
      </c>
      <c r="S410" s="41">
        <f t="shared" ref="S410:S423" si="332">K410*R410</f>
        <v>0</v>
      </c>
      <c r="T410" s="43">
        <v>5</v>
      </c>
      <c r="U410" s="41">
        <f t="shared" ref="U410:U428" si="333">K410*T410</f>
        <v>12258.45</v>
      </c>
      <c r="V410" s="41">
        <v>0</v>
      </c>
      <c r="W410" s="41">
        <f t="shared" ref="W410:W423" si="334">K410*V410</f>
        <v>0</v>
      </c>
      <c r="X410" s="43">
        <v>5</v>
      </c>
      <c r="Y410" s="41">
        <f t="shared" ref="Y410:Y424" si="335">K410*X410</f>
        <v>12258.45</v>
      </c>
      <c r="Z410" s="43">
        <v>0</v>
      </c>
      <c r="AA410" s="41">
        <f t="shared" ref="AA410:AA423" si="336">K410*Z410</f>
        <v>0</v>
      </c>
      <c r="AB410" s="43">
        <v>5</v>
      </c>
      <c r="AC410" s="41">
        <f t="shared" ref="AC410:AC428" si="337">K410*AB410</f>
        <v>12258.45</v>
      </c>
      <c r="AD410" s="41">
        <v>0</v>
      </c>
      <c r="AE410" s="41">
        <f t="shared" ref="AE410:AE424" si="338">K410*AD410</f>
        <v>0</v>
      </c>
      <c r="AF410" s="41">
        <v>5</v>
      </c>
      <c r="AG410" s="41">
        <f t="shared" ref="AG410:AG423" si="339">K410*AF410</f>
        <v>12258.45</v>
      </c>
      <c r="AH410" s="41">
        <v>0</v>
      </c>
      <c r="AI410" s="41">
        <f t="shared" ref="AI410:AI424" si="340">K410*AH410</f>
        <v>0</v>
      </c>
      <c r="AJ410" s="41">
        <v>0</v>
      </c>
      <c r="AK410" s="41">
        <f t="shared" ref="AK410:AK423" si="341">K410*AJ410</f>
        <v>0</v>
      </c>
      <c r="AL410" s="33">
        <f t="shared" si="287"/>
        <v>61292.25</v>
      </c>
    </row>
    <row r="411" spans="2:40" ht="57.75" x14ac:dyDescent="0.25">
      <c r="B411" s="14">
        <v>29602</v>
      </c>
      <c r="C411" s="14" t="s">
        <v>357</v>
      </c>
      <c r="D411" s="49">
        <v>0</v>
      </c>
      <c r="E411" s="14">
        <v>5</v>
      </c>
      <c r="F411" s="14" t="s">
        <v>49</v>
      </c>
      <c r="G411" s="27" t="s">
        <v>89</v>
      </c>
      <c r="H411" s="28" t="s">
        <v>43</v>
      </c>
      <c r="I411" s="143" t="s">
        <v>44</v>
      </c>
      <c r="J411" s="144"/>
      <c r="K411" s="17">
        <f>1424-62.5</f>
        <v>1361.5</v>
      </c>
      <c r="L411" s="17">
        <f t="shared" si="330"/>
        <v>6807.5</v>
      </c>
      <c r="M411" s="40"/>
      <c r="N411" s="41">
        <v>0</v>
      </c>
      <c r="O411" s="41">
        <v>0</v>
      </c>
      <c r="P411" s="41">
        <v>0</v>
      </c>
      <c r="Q411" s="41">
        <v>0</v>
      </c>
      <c r="R411" s="41">
        <v>0</v>
      </c>
      <c r="S411" s="41">
        <f t="shared" si="332"/>
        <v>0</v>
      </c>
      <c r="T411" s="43">
        <v>4</v>
      </c>
      <c r="U411" s="41">
        <f t="shared" si="333"/>
        <v>5446</v>
      </c>
      <c r="V411" s="41">
        <v>0</v>
      </c>
      <c r="W411" s="41">
        <v>0</v>
      </c>
      <c r="X411" s="43">
        <v>2</v>
      </c>
      <c r="Y411" s="41">
        <f t="shared" si="335"/>
        <v>2723</v>
      </c>
      <c r="Z411" s="43">
        <v>0</v>
      </c>
      <c r="AA411" s="41">
        <f t="shared" si="336"/>
        <v>0</v>
      </c>
      <c r="AB411" s="43">
        <v>2</v>
      </c>
      <c r="AC411" s="41">
        <f t="shared" si="337"/>
        <v>2723</v>
      </c>
      <c r="AD411" s="41">
        <v>0</v>
      </c>
      <c r="AE411" s="41">
        <f t="shared" si="338"/>
        <v>0</v>
      </c>
      <c r="AF411" s="41">
        <v>2</v>
      </c>
      <c r="AG411" s="41">
        <f t="shared" si="339"/>
        <v>2723</v>
      </c>
      <c r="AH411" s="41">
        <v>0</v>
      </c>
      <c r="AI411" s="41">
        <f t="shared" si="340"/>
        <v>0</v>
      </c>
      <c r="AJ411" s="41">
        <v>0</v>
      </c>
      <c r="AK411" s="41">
        <f t="shared" si="341"/>
        <v>0</v>
      </c>
      <c r="AL411" s="33">
        <f t="shared" si="287"/>
        <v>13615</v>
      </c>
    </row>
    <row r="412" spans="2:40" ht="57.75" x14ac:dyDescent="0.25">
      <c r="B412" s="49">
        <v>29602</v>
      </c>
      <c r="C412" s="49" t="s">
        <v>358</v>
      </c>
      <c r="D412" s="49">
        <v>0</v>
      </c>
      <c r="E412" s="49">
        <v>20</v>
      </c>
      <c r="F412" s="49" t="s">
        <v>49</v>
      </c>
      <c r="G412" s="27" t="s">
        <v>89</v>
      </c>
      <c r="H412" s="28" t="s">
        <v>43</v>
      </c>
      <c r="I412" s="143" t="s">
        <v>44</v>
      </c>
      <c r="J412" s="144"/>
      <c r="K412" s="50">
        <v>520</v>
      </c>
      <c r="L412" s="50">
        <f t="shared" si="330"/>
        <v>10400</v>
      </c>
      <c r="M412" s="51"/>
      <c r="N412" s="41">
        <v>0</v>
      </c>
      <c r="O412" s="41">
        <f t="shared" ref="O412:O423" si="342">N412*K412</f>
        <v>0</v>
      </c>
      <c r="P412" s="41">
        <v>0</v>
      </c>
      <c r="Q412" s="41">
        <f t="shared" si="331"/>
        <v>0</v>
      </c>
      <c r="R412" s="41">
        <v>0</v>
      </c>
      <c r="S412" s="41">
        <v>0</v>
      </c>
      <c r="T412" s="43">
        <v>8</v>
      </c>
      <c r="U412" s="41">
        <f t="shared" si="333"/>
        <v>4160</v>
      </c>
      <c r="V412" s="41">
        <v>0</v>
      </c>
      <c r="W412" s="41">
        <f t="shared" si="334"/>
        <v>0</v>
      </c>
      <c r="X412" s="43">
        <v>8</v>
      </c>
      <c r="Y412" s="41">
        <f t="shared" si="335"/>
        <v>4160</v>
      </c>
      <c r="Z412" s="43">
        <v>0</v>
      </c>
      <c r="AA412" s="41">
        <f t="shared" si="336"/>
        <v>0</v>
      </c>
      <c r="AB412" s="43">
        <v>8</v>
      </c>
      <c r="AC412" s="41">
        <f t="shared" si="337"/>
        <v>4160</v>
      </c>
      <c r="AD412" s="41">
        <v>0</v>
      </c>
      <c r="AE412" s="41">
        <f t="shared" si="338"/>
        <v>0</v>
      </c>
      <c r="AF412" s="41">
        <v>8</v>
      </c>
      <c r="AG412" s="41">
        <f t="shared" si="339"/>
        <v>4160</v>
      </c>
      <c r="AH412" s="41">
        <v>0</v>
      </c>
      <c r="AI412" s="41">
        <f t="shared" si="340"/>
        <v>0</v>
      </c>
      <c r="AJ412" s="41">
        <v>8</v>
      </c>
      <c r="AK412" s="41">
        <f t="shared" si="341"/>
        <v>4160</v>
      </c>
      <c r="AL412" s="33">
        <f t="shared" si="287"/>
        <v>20800</v>
      </c>
    </row>
    <row r="413" spans="2:40" ht="57.75" x14ac:dyDescent="0.25">
      <c r="B413" s="49">
        <v>29602</v>
      </c>
      <c r="C413" s="49" t="s">
        <v>359</v>
      </c>
      <c r="D413" s="49">
        <v>0</v>
      </c>
      <c r="E413" s="49">
        <v>30</v>
      </c>
      <c r="F413" s="49" t="s">
        <v>49</v>
      </c>
      <c r="G413" s="27" t="s">
        <v>89</v>
      </c>
      <c r="H413" s="28" t="s">
        <v>43</v>
      </c>
      <c r="I413" s="143" t="s">
        <v>44</v>
      </c>
      <c r="J413" s="144"/>
      <c r="K413" s="50">
        <v>500</v>
      </c>
      <c r="L413" s="50">
        <f t="shared" si="330"/>
        <v>15000</v>
      </c>
      <c r="M413" s="51"/>
      <c r="N413" s="41">
        <v>0</v>
      </c>
      <c r="O413" s="41">
        <v>0</v>
      </c>
      <c r="P413" s="41">
        <v>0</v>
      </c>
      <c r="Q413" s="41">
        <v>0</v>
      </c>
      <c r="R413" s="41">
        <v>0</v>
      </c>
      <c r="S413" s="41">
        <f t="shared" si="332"/>
        <v>0</v>
      </c>
      <c r="T413" s="43">
        <v>0</v>
      </c>
      <c r="U413" s="41">
        <f t="shared" si="333"/>
        <v>0</v>
      </c>
      <c r="V413" s="41">
        <v>0</v>
      </c>
      <c r="W413" s="41">
        <f t="shared" si="334"/>
        <v>0</v>
      </c>
      <c r="X413" s="43">
        <v>15</v>
      </c>
      <c r="Y413" s="41">
        <f t="shared" si="335"/>
        <v>7500</v>
      </c>
      <c r="Z413" s="43">
        <v>10</v>
      </c>
      <c r="AA413" s="41">
        <f t="shared" si="336"/>
        <v>5000</v>
      </c>
      <c r="AB413" s="43">
        <v>10</v>
      </c>
      <c r="AC413" s="41">
        <f t="shared" si="337"/>
        <v>5000</v>
      </c>
      <c r="AD413" s="41">
        <v>5</v>
      </c>
      <c r="AE413" s="41">
        <f t="shared" si="338"/>
        <v>2500</v>
      </c>
      <c r="AF413" s="41">
        <v>0</v>
      </c>
      <c r="AG413" s="41">
        <f t="shared" si="339"/>
        <v>0</v>
      </c>
      <c r="AH413" s="41">
        <v>0</v>
      </c>
      <c r="AI413" s="41">
        <v>0</v>
      </c>
      <c r="AJ413" s="41">
        <v>0</v>
      </c>
      <c r="AK413" s="41">
        <f t="shared" si="341"/>
        <v>0</v>
      </c>
      <c r="AL413" s="33">
        <f t="shared" si="287"/>
        <v>20000</v>
      </c>
    </row>
    <row r="414" spans="2:40" ht="57.75" x14ac:dyDescent="0.25">
      <c r="B414" s="49">
        <v>29602</v>
      </c>
      <c r="C414" s="49" t="s">
        <v>360</v>
      </c>
      <c r="D414" s="49">
        <v>0</v>
      </c>
      <c r="E414" s="49">
        <v>18</v>
      </c>
      <c r="F414" s="49" t="s">
        <v>49</v>
      </c>
      <c r="G414" s="27" t="s">
        <v>89</v>
      </c>
      <c r="H414" s="28" t="s">
        <v>43</v>
      </c>
      <c r="I414" s="143" t="s">
        <v>44</v>
      </c>
      <c r="J414" s="144"/>
      <c r="K414" s="50">
        <v>480</v>
      </c>
      <c r="L414" s="50">
        <f t="shared" si="330"/>
        <v>8640</v>
      </c>
      <c r="M414" s="51"/>
      <c r="N414" s="41">
        <v>0</v>
      </c>
      <c r="O414" s="41">
        <f t="shared" si="342"/>
        <v>0</v>
      </c>
      <c r="P414" s="41">
        <v>0</v>
      </c>
      <c r="Q414" s="41">
        <f t="shared" si="331"/>
        <v>0</v>
      </c>
      <c r="R414" s="41">
        <v>4</v>
      </c>
      <c r="S414" s="41">
        <f t="shared" si="332"/>
        <v>1920</v>
      </c>
      <c r="T414" s="43">
        <v>0</v>
      </c>
      <c r="U414" s="41">
        <f t="shared" si="333"/>
        <v>0</v>
      </c>
      <c r="V414" s="41">
        <v>4</v>
      </c>
      <c r="W414" s="41">
        <f t="shared" si="334"/>
        <v>1920</v>
      </c>
      <c r="X414" s="43">
        <v>0</v>
      </c>
      <c r="Y414" s="41">
        <f t="shared" si="335"/>
        <v>0</v>
      </c>
      <c r="Z414" s="43">
        <v>4</v>
      </c>
      <c r="AA414" s="41">
        <f t="shared" si="336"/>
        <v>1920</v>
      </c>
      <c r="AB414" s="43">
        <v>0</v>
      </c>
      <c r="AC414" s="41">
        <f t="shared" si="337"/>
        <v>0</v>
      </c>
      <c r="AD414" s="41">
        <v>0</v>
      </c>
      <c r="AE414" s="41">
        <f t="shared" si="338"/>
        <v>0</v>
      </c>
      <c r="AF414" s="41">
        <v>4</v>
      </c>
      <c r="AG414" s="41">
        <f t="shared" si="339"/>
        <v>1920</v>
      </c>
      <c r="AH414" s="41">
        <v>0</v>
      </c>
      <c r="AI414" s="41">
        <f t="shared" si="340"/>
        <v>0</v>
      </c>
      <c r="AJ414" s="41">
        <v>0</v>
      </c>
      <c r="AK414" s="41">
        <f t="shared" si="341"/>
        <v>0</v>
      </c>
      <c r="AL414" s="33">
        <f t="shared" si="287"/>
        <v>7680</v>
      </c>
    </row>
    <row r="415" spans="2:40" ht="57.75" x14ac:dyDescent="0.25">
      <c r="B415" s="14">
        <v>29602</v>
      </c>
      <c r="C415" s="14" t="s">
        <v>361</v>
      </c>
      <c r="D415" s="49">
        <v>0</v>
      </c>
      <c r="E415" s="14">
        <v>18</v>
      </c>
      <c r="F415" s="14" t="s">
        <v>49</v>
      </c>
      <c r="G415" s="27" t="s">
        <v>89</v>
      </c>
      <c r="H415" s="28" t="s">
        <v>43</v>
      </c>
      <c r="I415" s="143" t="s">
        <v>44</v>
      </c>
      <c r="J415" s="144"/>
      <c r="K415" s="17">
        <v>650</v>
      </c>
      <c r="L415" s="17">
        <f t="shared" si="330"/>
        <v>11700</v>
      </c>
      <c r="M415" s="40"/>
      <c r="N415" s="41">
        <v>0</v>
      </c>
      <c r="O415" s="41">
        <f t="shared" si="342"/>
        <v>0</v>
      </c>
      <c r="P415" s="41">
        <v>0</v>
      </c>
      <c r="Q415" s="41">
        <f t="shared" si="331"/>
        <v>0</v>
      </c>
      <c r="R415" s="41">
        <v>5</v>
      </c>
      <c r="S415" s="41">
        <f t="shared" si="332"/>
        <v>3250</v>
      </c>
      <c r="T415" s="43">
        <v>0</v>
      </c>
      <c r="U415" s="41">
        <v>0</v>
      </c>
      <c r="V415" s="41">
        <v>5</v>
      </c>
      <c r="W415" s="41">
        <f t="shared" si="334"/>
        <v>3250</v>
      </c>
      <c r="X415" s="43">
        <v>0</v>
      </c>
      <c r="Y415" s="41">
        <f t="shared" si="335"/>
        <v>0</v>
      </c>
      <c r="Z415" s="43">
        <v>5</v>
      </c>
      <c r="AA415" s="41">
        <f t="shared" si="336"/>
        <v>3250</v>
      </c>
      <c r="AB415" s="43">
        <v>0</v>
      </c>
      <c r="AC415" s="41">
        <f t="shared" si="337"/>
        <v>0</v>
      </c>
      <c r="AD415" s="41">
        <v>0</v>
      </c>
      <c r="AE415" s="41">
        <f t="shared" si="338"/>
        <v>0</v>
      </c>
      <c r="AF415" s="41">
        <v>5</v>
      </c>
      <c r="AG415" s="41">
        <f t="shared" si="339"/>
        <v>3250</v>
      </c>
      <c r="AH415" s="41">
        <v>0</v>
      </c>
      <c r="AI415" s="41">
        <f t="shared" si="340"/>
        <v>0</v>
      </c>
      <c r="AJ415" s="41">
        <v>0</v>
      </c>
      <c r="AK415" s="41">
        <f t="shared" si="341"/>
        <v>0</v>
      </c>
      <c r="AL415" s="33">
        <f t="shared" si="287"/>
        <v>13000</v>
      </c>
    </row>
    <row r="416" spans="2:40" ht="57.75" x14ac:dyDescent="0.25">
      <c r="B416" s="49">
        <v>29602</v>
      </c>
      <c r="C416" s="49" t="s">
        <v>362</v>
      </c>
      <c r="D416" s="49">
        <v>0</v>
      </c>
      <c r="E416" s="49">
        <v>40</v>
      </c>
      <c r="F416" s="49" t="s">
        <v>49</v>
      </c>
      <c r="G416" s="27" t="s">
        <v>89</v>
      </c>
      <c r="H416" s="28" t="s">
        <v>43</v>
      </c>
      <c r="I416" s="143" t="s">
        <v>44</v>
      </c>
      <c r="J416" s="144"/>
      <c r="K416" s="50">
        <v>250</v>
      </c>
      <c r="L416" s="50">
        <f t="shared" si="330"/>
        <v>10000</v>
      </c>
      <c r="M416" s="51"/>
      <c r="N416" s="41">
        <v>0</v>
      </c>
      <c r="O416" s="41">
        <f t="shared" si="342"/>
        <v>0</v>
      </c>
      <c r="P416" s="41">
        <v>10</v>
      </c>
      <c r="Q416" s="41">
        <f t="shared" si="331"/>
        <v>2500</v>
      </c>
      <c r="R416" s="41">
        <v>0</v>
      </c>
      <c r="S416" s="41">
        <f t="shared" si="332"/>
        <v>0</v>
      </c>
      <c r="T416" s="43">
        <v>0</v>
      </c>
      <c r="U416" s="41">
        <f t="shared" si="333"/>
        <v>0</v>
      </c>
      <c r="V416" s="41">
        <v>10</v>
      </c>
      <c r="W416" s="41">
        <f t="shared" si="334"/>
        <v>2500</v>
      </c>
      <c r="X416" s="43">
        <v>0</v>
      </c>
      <c r="Y416" s="41">
        <f t="shared" si="335"/>
        <v>0</v>
      </c>
      <c r="Z416" s="43">
        <v>10</v>
      </c>
      <c r="AA416" s="41">
        <f t="shared" si="336"/>
        <v>2500</v>
      </c>
      <c r="AB416" s="43">
        <v>0</v>
      </c>
      <c r="AC416" s="41">
        <f t="shared" si="337"/>
        <v>0</v>
      </c>
      <c r="AD416" s="41">
        <v>10</v>
      </c>
      <c r="AE416" s="41">
        <f t="shared" si="338"/>
        <v>2500</v>
      </c>
      <c r="AF416" s="41">
        <v>0</v>
      </c>
      <c r="AG416" s="41">
        <f t="shared" si="339"/>
        <v>0</v>
      </c>
      <c r="AH416" s="41">
        <v>0</v>
      </c>
      <c r="AI416" s="41">
        <f t="shared" si="340"/>
        <v>0</v>
      </c>
      <c r="AJ416" s="41">
        <v>0</v>
      </c>
      <c r="AK416" s="41">
        <f t="shared" si="341"/>
        <v>0</v>
      </c>
      <c r="AL416" s="33">
        <f t="shared" si="287"/>
        <v>10000</v>
      </c>
    </row>
    <row r="417" spans="2:38" ht="57.75" x14ac:dyDescent="0.25">
      <c r="B417" s="49">
        <v>29602</v>
      </c>
      <c r="C417" s="49" t="s">
        <v>363</v>
      </c>
      <c r="D417" s="49">
        <v>0</v>
      </c>
      <c r="E417" s="49">
        <v>20</v>
      </c>
      <c r="F417" s="49" t="s">
        <v>49</v>
      </c>
      <c r="G417" s="27" t="s">
        <v>89</v>
      </c>
      <c r="H417" s="28" t="s">
        <v>43</v>
      </c>
      <c r="I417" s="143" t="s">
        <v>44</v>
      </c>
      <c r="J417" s="144"/>
      <c r="K417" s="50">
        <v>800</v>
      </c>
      <c r="L417" s="50">
        <f t="shared" si="330"/>
        <v>16000</v>
      </c>
      <c r="M417" s="51"/>
      <c r="N417" s="41">
        <v>0</v>
      </c>
      <c r="O417" s="41">
        <f t="shared" si="342"/>
        <v>0</v>
      </c>
      <c r="P417" s="41">
        <v>0</v>
      </c>
      <c r="Q417" s="41">
        <f t="shared" si="331"/>
        <v>0</v>
      </c>
      <c r="R417" s="41">
        <v>10</v>
      </c>
      <c r="S417" s="41">
        <f t="shared" si="332"/>
        <v>8000</v>
      </c>
      <c r="T417" s="43">
        <v>0</v>
      </c>
      <c r="U417" s="41">
        <f t="shared" si="333"/>
        <v>0</v>
      </c>
      <c r="V417" s="41">
        <v>10</v>
      </c>
      <c r="W417" s="41">
        <f t="shared" si="334"/>
        <v>8000</v>
      </c>
      <c r="X417" s="43">
        <v>0</v>
      </c>
      <c r="Y417" s="41">
        <f t="shared" si="335"/>
        <v>0</v>
      </c>
      <c r="Z417" s="43">
        <v>10</v>
      </c>
      <c r="AA417" s="41">
        <f t="shared" si="336"/>
        <v>8000</v>
      </c>
      <c r="AB417" s="43">
        <v>0</v>
      </c>
      <c r="AC417" s="41">
        <f t="shared" si="337"/>
        <v>0</v>
      </c>
      <c r="AD417" s="41">
        <v>10</v>
      </c>
      <c r="AE417" s="41">
        <f t="shared" si="338"/>
        <v>8000</v>
      </c>
      <c r="AF417" s="41">
        <v>0</v>
      </c>
      <c r="AG417" s="41">
        <f t="shared" si="339"/>
        <v>0</v>
      </c>
      <c r="AH417" s="41">
        <v>0</v>
      </c>
      <c r="AI417" s="41">
        <f t="shared" si="340"/>
        <v>0</v>
      </c>
      <c r="AJ417" s="41">
        <v>0</v>
      </c>
      <c r="AK417" s="41">
        <f t="shared" si="341"/>
        <v>0</v>
      </c>
      <c r="AL417" s="33">
        <f t="shared" si="287"/>
        <v>32000</v>
      </c>
    </row>
    <row r="418" spans="2:38" ht="57.75" x14ac:dyDescent="0.25">
      <c r="B418" s="49">
        <v>29602</v>
      </c>
      <c r="C418" s="49" t="s">
        <v>364</v>
      </c>
      <c r="D418" s="49">
        <v>0</v>
      </c>
      <c r="E418" s="49">
        <v>4</v>
      </c>
      <c r="F418" s="49" t="s">
        <v>49</v>
      </c>
      <c r="G418" s="27" t="s">
        <v>89</v>
      </c>
      <c r="H418" s="28" t="s">
        <v>43</v>
      </c>
      <c r="I418" s="143" t="s">
        <v>44</v>
      </c>
      <c r="J418" s="144"/>
      <c r="K418" s="50">
        <v>1200</v>
      </c>
      <c r="L418" s="50">
        <f t="shared" si="330"/>
        <v>4800</v>
      </c>
      <c r="M418" s="51"/>
      <c r="N418" s="41">
        <v>0</v>
      </c>
      <c r="O418" s="41">
        <f t="shared" si="342"/>
        <v>0</v>
      </c>
      <c r="P418" s="41">
        <v>0</v>
      </c>
      <c r="Q418" s="41">
        <f t="shared" si="331"/>
        <v>0</v>
      </c>
      <c r="R418" s="41">
        <v>2</v>
      </c>
      <c r="S418" s="41">
        <f t="shared" si="332"/>
        <v>2400</v>
      </c>
      <c r="T418" s="43">
        <v>0</v>
      </c>
      <c r="U418" s="41">
        <f t="shared" si="333"/>
        <v>0</v>
      </c>
      <c r="V418" s="41">
        <v>0</v>
      </c>
      <c r="W418" s="41">
        <f t="shared" si="334"/>
        <v>0</v>
      </c>
      <c r="X418" s="43">
        <v>0</v>
      </c>
      <c r="Y418" s="41">
        <f t="shared" si="335"/>
        <v>0</v>
      </c>
      <c r="Z418" s="43">
        <v>2</v>
      </c>
      <c r="AA418" s="41">
        <f t="shared" si="336"/>
        <v>2400</v>
      </c>
      <c r="AB418" s="43">
        <v>0</v>
      </c>
      <c r="AC418" s="41">
        <f t="shared" si="337"/>
        <v>0</v>
      </c>
      <c r="AD418" s="41">
        <v>0</v>
      </c>
      <c r="AE418" s="41">
        <f t="shared" si="338"/>
        <v>0</v>
      </c>
      <c r="AF418" s="41">
        <v>0</v>
      </c>
      <c r="AG418" s="41">
        <f t="shared" si="339"/>
        <v>0</v>
      </c>
      <c r="AH418" s="41">
        <v>0</v>
      </c>
      <c r="AI418" s="41">
        <f t="shared" si="340"/>
        <v>0</v>
      </c>
      <c r="AJ418" s="41">
        <v>0</v>
      </c>
      <c r="AK418" s="41">
        <f t="shared" si="341"/>
        <v>0</v>
      </c>
      <c r="AL418" s="33">
        <f t="shared" si="287"/>
        <v>4800</v>
      </c>
    </row>
    <row r="419" spans="2:38" ht="57.75" x14ac:dyDescent="0.25">
      <c r="B419" s="49">
        <v>29602</v>
      </c>
      <c r="C419" s="49" t="s">
        <v>365</v>
      </c>
      <c r="D419" s="49">
        <v>0</v>
      </c>
      <c r="E419" s="49">
        <v>6</v>
      </c>
      <c r="F419" s="49" t="s">
        <v>49</v>
      </c>
      <c r="G419" s="27" t="s">
        <v>89</v>
      </c>
      <c r="H419" s="28" t="s">
        <v>43</v>
      </c>
      <c r="I419" s="143" t="s">
        <v>44</v>
      </c>
      <c r="J419" s="144"/>
      <c r="K419" s="50">
        <v>1504</v>
      </c>
      <c r="L419" s="50">
        <f t="shared" si="330"/>
        <v>9024</v>
      </c>
      <c r="M419" s="51"/>
      <c r="N419" s="41">
        <v>0</v>
      </c>
      <c r="O419" s="41">
        <f t="shared" si="342"/>
        <v>0</v>
      </c>
      <c r="P419" s="41">
        <v>0</v>
      </c>
      <c r="Q419" s="41">
        <f t="shared" si="331"/>
        <v>0</v>
      </c>
      <c r="R419" s="41">
        <v>4</v>
      </c>
      <c r="S419" s="41">
        <f t="shared" si="332"/>
        <v>6016</v>
      </c>
      <c r="T419" s="43">
        <v>0</v>
      </c>
      <c r="U419" s="41">
        <f t="shared" si="333"/>
        <v>0</v>
      </c>
      <c r="V419" s="41">
        <v>0</v>
      </c>
      <c r="W419" s="41">
        <f t="shared" si="334"/>
        <v>0</v>
      </c>
      <c r="X419" s="43">
        <v>4</v>
      </c>
      <c r="Y419" s="41">
        <f t="shared" si="335"/>
        <v>6016</v>
      </c>
      <c r="Z419" s="43">
        <v>0</v>
      </c>
      <c r="AA419" s="41">
        <f t="shared" si="336"/>
        <v>0</v>
      </c>
      <c r="AB419" s="43">
        <v>4</v>
      </c>
      <c r="AC419" s="41">
        <f t="shared" si="337"/>
        <v>6016</v>
      </c>
      <c r="AD419" s="41">
        <v>0</v>
      </c>
      <c r="AE419" s="41">
        <f t="shared" si="338"/>
        <v>0</v>
      </c>
      <c r="AF419" s="41">
        <v>0</v>
      </c>
      <c r="AG419" s="41">
        <f t="shared" si="339"/>
        <v>0</v>
      </c>
      <c r="AH419" s="41">
        <v>0</v>
      </c>
      <c r="AI419" s="41">
        <f t="shared" si="340"/>
        <v>0</v>
      </c>
      <c r="AJ419" s="41">
        <v>0</v>
      </c>
      <c r="AK419" s="41">
        <f t="shared" si="341"/>
        <v>0</v>
      </c>
      <c r="AL419" s="33">
        <f t="shared" si="287"/>
        <v>18048</v>
      </c>
    </row>
    <row r="420" spans="2:38" ht="57.75" x14ac:dyDescent="0.25">
      <c r="B420" s="49">
        <v>29602</v>
      </c>
      <c r="C420" s="49" t="s">
        <v>366</v>
      </c>
      <c r="D420" s="49">
        <v>0</v>
      </c>
      <c r="E420" s="49">
        <v>8</v>
      </c>
      <c r="F420" s="49" t="s">
        <v>206</v>
      </c>
      <c r="G420" s="27" t="s">
        <v>89</v>
      </c>
      <c r="H420" s="28" t="s">
        <v>43</v>
      </c>
      <c r="I420" s="143" t="s">
        <v>44</v>
      </c>
      <c r="J420" s="144"/>
      <c r="K420" s="50">
        <v>2800</v>
      </c>
      <c r="L420" s="50">
        <f t="shared" si="330"/>
        <v>22400</v>
      </c>
      <c r="M420" s="51"/>
      <c r="N420" s="41">
        <v>0</v>
      </c>
      <c r="O420" s="41">
        <f t="shared" si="342"/>
        <v>0</v>
      </c>
      <c r="P420" s="41">
        <v>0</v>
      </c>
      <c r="Q420" s="41">
        <f t="shared" si="331"/>
        <v>0</v>
      </c>
      <c r="R420" s="41">
        <v>4</v>
      </c>
      <c r="S420" s="41">
        <f t="shared" si="332"/>
        <v>11200</v>
      </c>
      <c r="T420" s="43">
        <v>0</v>
      </c>
      <c r="U420" s="41">
        <f t="shared" si="333"/>
        <v>0</v>
      </c>
      <c r="V420" s="41">
        <v>0</v>
      </c>
      <c r="W420" s="41">
        <f t="shared" si="334"/>
        <v>0</v>
      </c>
      <c r="X420" s="43">
        <v>4</v>
      </c>
      <c r="Y420" s="41">
        <f t="shared" si="335"/>
        <v>11200</v>
      </c>
      <c r="Z420" s="43">
        <v>0</v>
      </c>
      <c r="AA420" s="41">
        <f t="shared" si="336"/>
        <v>0</v>
      </c>
      <c r="AB420" s="43">
        <v>4</v>
      </c>
      <c r="AC420" s="41">
        <f t="shared" si="337"/>
        <v>11200</v>
      </c>
      <c r="AD420" s="41">
        <v>0</v>
      </c>
      <c r="AE420" s="41">
        <f t="shared" si="338"/>
        <v>0</v>
      </c>
      <c r="AF420" s="41">
        <v>0</v>
      </c>
      <c r="AG420" s="41">
        <f t="shared" si="339"/>
        <v>0</v>
      </c>
      <c r="AH420" s="41">
        <v>0</v>
      </c>
      <c r="AI420" s="41">
        <f t="shared" si="340"/>
        <v>0</v>
      </c>
      <c r="AJ420" s="41">
        <v>0</v>
      </c>
      <c r="AK420" s="41">
        <f t="shared" si="341"/>
        <v>0</v>
      </c>
      <c r="AL420" s="33">
        <f t="shared" si="287"/>
        <v>33600</v>
      </c>
    </row>
    <row r="421" spans="2:38" ht="57.75" x14ac:dyDescent="0.25">
      <c r="B421" s="49">
        <v>29602</v>
      </c>
      <c r="C421" s="49" t="s">
        <v>367</v>
      </c>
      <c r="D421" s="49">
        <v>0</v>
      </c>
      <c r="E421" s="49">
        <v>6</v>
      </c>
      <c r="F421" s="49" t="s">
        <v>49</v>
      </c>
      <c r="G421" s="27" t="s">
        <v>89</v>
      </c>
      <c r="H421" s="28" t="s">
        <v>43</v>
      </c>
      <c r="I421" s="143" t="s">
        <v>44</v>
      </c>
      <c r="J421" s="144"/>
      <c r="K421" s="50">
        <v>1200</v>
      </c>
      <c r="L421" s="50">
        <f t="shared" si="330"/>
        <v>7200</v>
      </c>
      <c r="M421" s="51"/>
      <c r="N421" s="41">
        <v>0</v>
      </c>
      <c r="O421" s="41">
        <f t="shared" si="342"/>
        <v>0</v>
      </c>
      <c r="P421" s="41">
        <v>0</v>
      </c>
      <c r="Q421" s="41">
        <f t="shared" si="331"/>
        <v>0</v>
      </c>
      <c r="R421" s="41">
        <v>2</v>
      </c>
      <c r="S421" s="41">
        <f t="shared" si="332"/>
        <v>2400</v>
      </c>
      <c r="T421" s="43">
        <v>0</v>
      </c>
      <c r="U421" s="41">
        <f t="shared" si="333"/>
        <v>0</v>
      </c>
      <c r="V421" s="41">
        <v>0</v>
      </c>
      <c r="W421" s="41">
        <f t="shared" si="334"/>
        <v>0</v>
      </c>
      <c r="X421" s="43">
        <v>2</v>
      </c>
      <c r="Y421" s="41">
        <f t="shared" si="335"/>
        <v>2400</v>
      </c>
      <c r="Z421" s="43">
        <v>0</v>
      </c>
      <c r="AA421" s="41">
        <f t="shared" si="336"/>
        <v>0</v>
      </c>
      <c r="AB421" s="43">
        <v>0</v>
      </c>
      <c r="AC421" s="41">
        <f t="shared" si="337"/>
        <v>0</v>
      </c>
      <c r="AD421" s="41">
        <v>0</v>
      </c>
      <c r="AE421" s="41">
        <v>0</v>
      </c>
      <c r="AF421" s="41">
        <v>0</v>
      </c>
      <c r="AG421" s="41">
        <f t="shared" si="339"/>
        <v>0</v>
      </c>
      <c r="AH421" s="41">
        <v>2</v>
      </c>
      <c r="AI421" s="41">
        <f t="shared" si="340"/>
        <v>2400</v>
      </c>
      <c r="AJ421" s="41">
        <v>0</v>
      </c>
      <c r="AK421" s="41">
        <f t="shared" si="341"/>
        <v>0</v>
      </c>
      <c r="AL421" s="33">
        <f t="shared" si="287"/>
        <v>7200</v>
      </c>
    </row>
    <row r="422" spans="2:38" ht="57.75" x14ac:dyDescent="0.25">
      <c r="B422" s="49">
        <v>29602</v>
      </c>
      <c r="C422" s="49" t="s">
        <v>368</v>
      </c>
      <c r="D422" s="49">
        <v>0</v>
      </c>
      <c r="E422" s="49">
        <v>1</v>
      </c>
      <c r="F422" s="49" t="s">
        <v>49</v>
      </c>
      <c r="G422" s="27" t="s">
        <v>89</v>
      </c>
      <c r="H422" s="28" t="s">
        <v>43</v>
      </c>
      <c r="I422" s="143" t="s">
        <v>44</v>
      </c>
      <c r="J422" s="144"/>
      <c r="K422" s="50">
        <v>5000</v>
      </c>
      <c r="L422" s="50">
        <f t="shared" si="330"/>
        <v>5000</v>
      </c>
      <c r="M422" s="51"/>
      <c r="N422" s="41">
        <v>0</v>
      </c>
      <c r="O422" s="41">
        <f t="shared" si="342"/>
        <v>0</v>
      </c>
      <c r="P422" s="41">
        <v>0</v>
      </c>
      <c r="Q422" s="41">
        <f t="shared" si="331"/>
        <v>0</v>
      </c>
      <c r="R422" s="41">
        <v>1</v>
      </c>
      <c r="S422" s="41">
        <f t="shared" si="332"/>
        <v>5000</v>
      </c>
      <c r="T422" s="43">
        <v>0</v>
      </c>
      <c r="U422" s="41">
        <f t="shared" si="333"/>
        <v>0</v>
      </c>
      <c r="V422" s="41">
        <v>0</v>
      </c>
      <c r="W422" s="41">
        <f t="shared" si="334"/>
        <v>0</v>
      </c>
      <c r="X422" s="43">
        <v>1</v>
      </c>
      <c r="Y422" s="41">
        <f t="shared" si="335"/>
        <v>5000</v>
      </c>
      <c r="Z422" s="43">
        <v>0</v>
      </c>
      <c r="AA422" s="41">
        <f t="shared" si="336"/>
        <v>0</v>
      </c>
      <c r="AB422" s="43">
        <v>0</v>
      </c>
      <c r="AC422" s="41">
        <f t="shared" si="337"/>
        <v>0</v>
      </c>
      <c r="AD422" s="41">
        <v>0</v>
      </c>
      <c r="AE422" s="41">
        <f t="shared" si="338"/>
        <v>0</v>
      </c>
      <c r="AF422" s="41">
        <v>0</v>
      </c>
      <c r="AG422" s="41">
        <f t="shared" si="339"/>
        <v>0</v>
      </c>
      <c r="AH422" s="41">
        <v>0</v>
      </c>
      <c r="AI422" s="41">
        <f t="shared" si="340"/>
        <v>0</v>
      </c>
      <c r="AJ422" s="41">
        <v>0</v>
      </c>
      <c r="AK422" s="41">
        <f t="shared" si="341"/>
        <v>0</v>
      </c>
      <c r="AL422" s="33">
        <f t="shared" si="287"/>
        <v>10000</v>
      </c>
    </row>
    <row r="423" spans="2:38" ht="57.75" x14ac:dyDescent="0.25">
      <c r="B423" s="49">
        <v>29602</v>
      </c>
      <c r="C423" s="49" t="s">
        <v>369</v>
      </c>
      <c r="D423" s="49">
        <v>0</v>
      </c>
      <c r="E423" s="49">
        <v>6</v>
      </c>
      <c r="F423" s="49" t="s">
        <v>49</v>
      </c>
      <c r="G423" s="27" t="s">
        <v>89</v>
      </c>
      <c r="H423" s="28" t="s">
        <v>43</v>
      </c>
      <c r="I423" s="143" t="s">
        <v>44</v>
      </c>
      <c r="J423" s="144"/>
      <c r="K423" s="50">
        <v>1200</v>
      </c>
      <c r="L423" s="50">
        <f t="shared" si="330"/>
        <v>7200</v>
      </c>
      <c r="M423" s="51"/>
      <c r="N423" s="41">
        <v>0</v>
      </c>
      <c r="O423" s="41">
        <f t="shared" si="342"/>
        <v>0</v>
      </c>
      <c r="P423" s="41">
        <v>0</v>
      </c>
      <c r="Q423" s="41">
        <f t="shared" si="331"/>
        <v>0</v>
      </c>
      <c r="R423" s="41">
        <v>2</v>
      </c>
      <c r="S423" s="41">
        <f t="shared" si="332"/>
        <v>2400</v>
      </c>
      <c r="T423" s="43">
        <v>0</v>
      </c>
      <c r="U423" s="41">
        <f t="shared" si="333"/>
        <v>0</v>
      </c>
      <c r="V423" s="41">
        <v>2</v>
      </c>
      <c r="W423" s="41">
        <f t="shared" si="334"/>
        <v>2400</v>
      </c>
      <c r="X423" s="43">
        <v>0</v>
      </c>
      <c r="Y423" s="41">
        <f t="shared" si="335"/>
        <v>0</v>
      </c>
      <c r="Z423" s="43">
        <v>0</v>
      </c>
      <c r="AA423" s="41">
        <f t="shared" si="336"/>
        <v>0</v>
      </c>
      <c r="AB423" s="43">
        <v>2</v>
      </c>
      <c r="AC423" s="41">
        <f t="shared" si="337"/>
        <v>2400</v>
      </c>
      <c r="AD423" s="41">
        <v>0</v>
      </c>
      <c r="AE423" s="41">
        <f t="shared" si="338"/>
        <v>0</v>
      </c>
      <c r="AF423" s="41">
        <v>2</v>
      </c>
      <c r="AG423" s="41">
        <f t="shared" si="339"/>
        <v>2400</v>
      </c>
      <c r="AH423" s="41">
        <v>0</v>
      </c>
      <c r="AI423" s="41">
        <f t="shared" si="340"/>
        <v>0</v>
      </c>
      <c r="AJ423" s="41">
        <v>0</v>
      </c>
      <c r="AK423" s="41">
        <f t="shared" si="341"/>
        <v>0</v>
      </c>
      <c r="AL423" s="33">
        <f t="shared" si="287"/>
        <v>9600</v>
      </c>
    </row>
    <row r="424" spans="2:38" ht="57.75" x14ac:dyDescent="0.25">
      <c r="B424" s="49">
        <v>29602</v>
      </c>
      <c r="C424" s="49" t="s">
        <v>370</v>
      </c>
      <c r="D424" s="49">
        <v>0</v>
      </c>
      <c r="E424" s="49">
        <v>24</v>
      </c>
      <c r="F424" s="49" t="s">
        <v>49</v>
      </c>
      <c r="G424" s="27" t="s">
        <v>89</v>
      </c>
      <c r="H424" s="28" t="s">
        <v>43</v>
      </c>
      <c r="I424" s="143" t="s">
        <v>44</v>
      </c>
      <c r="J424" s="144"/>
      <c r="K424" s="50">
        <v>210</v>
      </c>
      <c r="L424" s="50">
        <f t="shared" si="330"/>
        <v>5040</v>
      </c>
      <c r="M424" s="51"/>
      <c r="N424" s="41">
        <v>0</v>
      </c>
      <c r="O424" s="41">
        <v>0</v>
      </c>
      <c r="P424" s="41">
        <v>0</v>
      </c>
      <c r="Q424" s="41">
        <v>0</v>
      </c>
      <c r="R424" s="41">
        <v>6</v>
      </c>
      <c r="S424" s="41">
        <f>R424*K424</f>
        <v>1260</v>
      </c>
      <c r="T424" s="43"/>
      <c r="U424" s="41"/>
      <c r="V424" s="41"/>
      <c r="W424" s="41"/>
      <c r="X424" s="43">
        <v>6</v>
      </c>
      <c r="Y424" s="41">
        <f t="shared" si="335"/>
        <v>1260</v>
      </c>
      <c r="Z424" s="43"/>
      <c r="AA424" s="41"/>
      <c r="AB424" s="43"/>
      <c r="AC424" s="41"/>
      <c r="AD424" s="41">
        <v>6</v>
      </c>
      <c r="AE424" s="41">
        <f t="shared" si="338"/>
        <v>1260</v>
      </c>
      <c r="AF424" s="41"/>
      <c r="AG424" s="41"/>
      <c r="AH424" s="41">
        <v>6</v>
      </c>
      <c r="AI424" s="41">
        <f t="shared" si="340"/>
        <v>1260</v>
      </c>
      <c r="AJ424" s="41"/>
      <c r="AK424" s="41"/>
      <c r="AL424" s="33">
        <f t="shared" si="287"/>
        <v>5040</v>
      </c>
    </row>
    <row r="425" spans="2:38" ht="57.75" x14ac:dyDescent="0.25">
      <c r="B425" s="49">
        <v>29602</v>
      </c>
      <c r="C425" s="49" t="s">
        <v>371</v>
      </c>
      <c r="D425" s="49">
        <v>0</v>
      </c>
      <c r="E425" s="49">
        <v>4</v>
      </c>
      <c r="F425" s="49" t="s">
        <v>49</v>
      </c>
      <c r="G425" s="27" t="s">
        <v>89</v>
      </c>
      <c r="H425" s="28" t="s">
        <v>43</v>
      </c>
      <c r="I425" s="143" t="s">
        <v>44</v>
      </c>
      <c r="J425" s="144"/>
      <c r="K425" s="50">
        <v>850</v>
      </c>
      <c r="L425" s="50">
        <f t="shared" si="330"/>
        <v>3400</v>
      </c>
      <c r="M425" s="51"/>
      <c r="N425" s="41"/>
      <c r="O425" s="41"/>
      <c r="P425" s="41"/>
      <c r="Q425" s="41"/>
      <c r="R425" s="41"/>
      <c r="S425" s="41"/>
      <c r="T425" s="43">
        <v>2</v>
      </c>
      <c r="U425" s="41">
        <f>T425*K425</f>
        <v>1700</v>
      </c>
      <c r="V425" s="41"/>
      <c r="W425" s="41"/>
      <c r="X425" s="43"/>
      <c r="Y425" s="41"/>
      <c r="Z425" s="43"/>
      <c r="AA425" s="41"/>
      <c r="AB425" s="43">
        <v>2</v>
      </c>
      <c r="AC425" s="41">
        <f>AB425*K425</f>
        <v>1700</v>
      </c>
      <c r="AD425" s="41"/>
      <c r="AE425" s="41"/>
      <c r="AF425" s="41"/>
      <c r="AG425" s="41"/>
      <c r="AH425" s="41"/>
      <c r="AI425" s="41"/>
      <c r="AJ425" s="41"/>
      <c r="AK425" s="41"/>
      <c r="AL425" s="33">
        <f t="shared" si="287"/>
        <v>3400</v>
      </c>
    </row>
    <row r="426" spans="2:38" ht="57.75" x14ac:dyDescent="0.25">
      <c r="B426" s="49">
        <v>29602</v>
      </c>
      <c r="C426" s="49" t="s">
        <v>372</v>
      </c>
      <c r="D426" s="49">
        <v>0</v>
      </c>
      <c r="E426" s="49">
        <v>6</v>
      </c>
      <c r="F426" s="49" t="s">
        <v>49</v>
      </c>
      <c r="G426" s="27" t="s">
        <v>89</v>
      </c>
      <c r="H426" s="28" t="s">
        <v>43</v>
      </c>
      <c r="I426" s="143" t="s">
        <v>44</v>
      </c>
      <c r="J426" s="144"/>
      <c r="K426" s="50">
        <v>900</v>
      </c>
      <c r="L426" s="50">
        <f t="shared" si="330"/>
        <v>5400</v>
      </c>
      <c r="M426" s="51"/>
      <c r="N426" s="41"/>
      <c r="O426" s="41"/>
      <c r="P426" s="41"/>
      <c r="Q426" s="41"/>
      <c r="R426" s="41"/>
      <c r="S426" s="41"/>
      <c r="T426" s="43">
        <v>2</v>
      </c>
      <c r="U426" s="41">
        <f>T426*K426</f>
        <v>1800</v>
      </c>
      <c r="V426" s="41"/>
      <c r="W426" s="41"/>
      <c r="X426" s="43"/>
      <c r="Y426" s="41"/>
      <c r="Z426" s="43"/>
      <c r="AA426" s="41"/>
      <c r="AB426" s="43">
        <v>2</v>
      </c>
      <c r="AC426" s="41">
        <f>AB426*K426</f>
        <v>1800</v>
      </c>
      <c r="AD426" s="41"/>
      <c r="AE426" s="41"/>
      <c r="AF426" s="41">
        <v>2</v>
      </c>
      <c r="AG426" s="41">
        <f>AF426*K426</f>
        <v>1800</v>
      </c>
      <c r="AH426" s="41"/>
      <c r="AI426" s="41"/>
      <c r="AJ426" s="41"/>
      <c r="AK426" s="41"/>
      <c r="AL426" s="33">
        <f t="shared" si="287"/>
        <v>5400</v>
      </c>
    </row>
    <row r="427" spans="2:38" ht="57.75" x14ac:dyDescent="0.25">
      <c r="B427" s="49">
        <v>29602</v>
      </c>
      <c r="C427" s="49" t="s">
        <v>373</v>
      </c>
      <c r="D427" s="49">
        <v>0</v>
      </c>
      <c r="E427" s="49">
        <v>2</v>
      </c>
      <c r="F427" s="49" t="s">
        <v>49</v>
      </c>
      <c r="G427" s="27" t="s">
        <v>89</v>
      </c>
      <c r="H427" s="28" t="s">
        <v>43</v>
      </c>
      <c r="I427" s="143" t="s">
        <v>44</v>
      </c>
      <c r="J427" s="144"/>
      <c r="K427" s="50">
        <v>11000</v>
      </c>
      <c r="L427" s="50">
        <f t="shared" si="330"/>
        <v>22000</v>
      </c>
      <c r="M427" s="51"/>
      <c r="N427" s="41"/>
      <c r="O427" s="41"/>
      <c r="P427" s="41"/>
      <c r="Q427" s="41"/>
      <c r="R427" s="41"/>
      <c r="S427" s="41"/>
      <c r="T427" s="43">
        <v>2</v>
      </c>
      <c r="U427" s="41">
        <f>T427*K427</f>
        <v>22000</v>
      </c>
      <c r="V427" s="41"/>
      <c r="W427" s="41"/>
      <c r="X427" s="43"/>
      <c r="Y427" s="41"/>
      <c r="Z427" s="43"/>
      <c r="AA427" s="41"/>
      <c r="AB427" s="43">
        <v>2</v>
      </c>
      <c r="AC427" s="41">
        <f>AB427*K427</f>
        <v>22000</v>
      </c>
      <c r="AD427" s="41"/>
      <c r="AE427" s="41"/>
      <c r="AF427" s="41"/>
      <c r="AG427" s="41"/>
      <c r="AH427" s="41"/>
      <c r="AI427" s="41"/>
      <c r="AJ427" s="41"/>
      <c r="AK427" s="41"/>
      <c r="AL427" s="33">
        <f t="shared" si="287"/>
        <v>44000</v>
      </c>
    </row>
    <row r="428" spans="2:38" ht="57.75" x14ac:dyDescent="0.25">
      <c r="B428" s="49">
        <v>29602</v>
      </c>
      <c r="C428" s="49" t="s">
        <v>374</v>
      </c>
      <c r="D428" s="49">
        <v>0</v>
      </c>
      <c r="E428" s="49">
        <v>2</v>
      </c>
      <c r="F428" s="49" t="s">
        <v>49</v>
      </c>
      <c r="G428" s="27" t="s">
        <v>89</v>
      </c>
      <c r="H428" s="28" t="s">
        <v>43</v>
      </c>
      <c r="I428" s="143" t="s">
        <v>44</v>
      </c>
      <c r="J428" s="144"/>
      <c r="K428" s="50">
        <v>6500</v>
      </c>
      <c r="L428" s="50">
        <f t="shared" si="330"/>
        <v>13000</v>
      </c>
      <c r="M428" s="51"/>
      <c r="N428" s="41"/>
      <c r="O428" s="41"/>
      <c r="P428" s="41"/>
      <c r="Q428" s="41"/>
      <c r="R428" s="41"/>
      <c r="S428" s="41"/>
      <c r="T428" s="43">
        <v>2</v>
      </c>
      <c r="U428" s="41">
        <f t="shared" si="333"/>
        <v>13000</v>
      </c>
      <c r="V428" s="41"/>
      <c r="W428" s="41"/>
      <c r="X428" s="43"/>
      <c r="Y428" s="41"/>
      <c r="Z428" s="43"/>
      <c r="AA428" s="41"/>
      <c r="AB428" s="43">
        <v>2</v>
      </c>
      <c r="AC428" s="41">
        <f t="shared" si="337"/>
        <v>13000</v>
      </c>
      <c r="AD428" s="41"/>
      <c r="AE428" s="41"/>
      <c r="AF428" s="41"/>
      <c r="AG428" s="41"/>
      <c r="AH428" s="41"/>
      <c r="AI428" s="41"/>
      <c r="AJ428" s="41"/>
      <c r="AK428" s="41"/>
      <c r="AL428" s="33">
        <f t="shared" si="287"/>
        <v>26000</v>
      </c>
    </row>
    <row r="429" spans="2:38" x14ac:dyDescent="0.25">
      <c r="B429" s="19">
        <v>29603</v>
      </c>
      <c r="C429" s="19"/>
      <c r="D429" s="19"/>
      <c r="E429" s="19"/>
      <c r="F429" s="19"/>
      <c r="G429" s="58"/>
      <c r="H429" s="68"/>
      <c r="I429" s="145"/>
      <c r="J429" s="146"/>
      <c r="K429" s="20"/>
      <c r="L429" s="21">
        <f>L430</f>
        <v>38256.959999999999</v>
      </c>
      <c r="M429" s="44">
        <v>60000</v>
      </c>
      <c r="N429" s="41"/>
      <c r="O429" s="41"/>
      <c r="P429" s="41"/>
      <c r="Q429" s="41"/>
      <c r="R429" s="41"/>
      <c r="S429" s="41"/>
      <c r="T429" s="43"/>
      <c r="U429" s="41"/>
      <c r="V429" s="41"/>
      <c r="W429" s="41"/>
      <c r="X429" s="43"/>
      <c r="Y429" s="41"/>
      <c r="Z429" s="43"/>
      <c r="AA429" s="41"/>
      <c r="AB429" s="43"/>
      <c r="AC429" s="41"/>
      <c r="AD429" s="41"/>
      <c r="AE429" s="41"/>
      <c r="AF429" s="41"/>
      <c r="AG429" s="41"/>
      <c r="AH429" s="41"/>
      <c r="AI429" s="41"/>
      <c r="AJ429" s="41"/>
      <c r="AK429" s="41"/>
      <c r="AL429" s="33"/>
    </row>
    <row r="430" spans="2:38" ht="57.75" x14ac:dyDescent="0.25">
      <c r="B430" s="14">
        <v>29603</v>
      </c>
      <c r="C430" s="26" t="s">
        <v>375</v>
      </c>
      <c r="D430" s="26">
        <v>0</v>
      </c>
      <c r="E430" s="26">
        <v>1</v>
      </c>
      <c r="F430" s="14" t="s">
        <v>546</v>
      </c>
      <c r="G430" s="27" t="s">
        <v>89</v>
      </c>
      <c r="H430" s="28" t="s">
        <v>43</v>
      </c>
      <c r="I430" s="143" t="s">
        <v>44</v>
      </c>
      <c r="J430" s="144"/>
      <c r="K430" s="17">
        <v>38256.959999999999</v>
      </c>
      <c r="L430" s="17">
        <f>E430*K430</f>
        <v>38256.959999999999</v>
      </c>
      <c r="M430" s="40"/>
      <c r="N430" s="41"/>
      <c r="O430" s="41">
        <f t="shared" ref="O430" si="343">N430*K430</f>
        <v>0</v>
      </c>
      <c r="P430" s="41">
        <v>3</v>
      </c>
      <c r="Q430" s="41">
        <f t="shared" ref="Q430" si="344">K430*P430</f>
        <v>114770.88</v>
      </c>
      <c r="R430" s="41">
        <v>3</v>
      </c>
      <c r="S430" s="41">
        <f t="shared" ref="S430" si="345">K430*R430</f>
        <v>114770.88</v>
      </c>
      <c r="T430" s="43">
        <v>3</v>
      </c>
      <c r="U430" s="41">
        <f t="shared" ref="U430" si="346">K430*T430</f>
        <v>114770.88</v>
      </c>
      <c r="V430" s="41">
        <v>3</v>
      </c>
      <c r="W430" s="41">
        <f t="shared" ref="W430" si="347">K430*V430</f>
        <v>114770.88</v>
      </c>
      <c r="X430" s="43">
        <v>3</v>
      </c>
      <c r="Y430" s="41">
        <f t="shared" ref="Y430" si="348">K430*X430</f>
        <v>114770.88</v>
      </c>
      <c r="Z430" s="43">
        <v>3</v>
      </c>
      <c r="AA430" s="41">
        <f t="shared" ref="AA430" si="349">K430*Z430</f>
        <v>114770.88</v>
      </c>
      <c r="AB430" s="43">
        <v>3</v>
      </c>
      <c r="AC430" s="41">
        <f t="shared" ref="AC430" si="350">K430*AB430</f>
        <v>114770.88</v>
      </c>
      <c r="AD430" s="41">
        <v>4</v>
      </c>
      <c r="AE430" s="41">
        <f t="shared" ref="AE430" si="351">K430*AD430</f>
        <v>153027.84</v>
      </c>
      <c r="AF430" s="41">
        <v>3</v>
      </c>
      <c r="AG430" s="41">
        <f t="shared" ref="AG430" si="352">K430*AF430</f>
        <v>114770.88</v>
      </c>
      <c r="AH430" s="41">
        <v>4</v>
      </c>
      <c r="AI430" s="41">
        <f t="shared" ref="AI430" si="353">K430*AH430</f>
        <v>153027.84</v>
      </c>
      <c r="AJ430" s="41">
        <v>0</v>
      </c>
      <c r="AK430" s="41">
        <f t="shared" ref="AK430" si="354">K430*AJ430</f>
        <v>0</v>
      </c>
      <c r="AL430" s="33">
        <f t="shared" si="287"/>
        <v>1224222.72</v>
      </c>
    </row>
    <row r="431" spans="2:38" x14ac:dyDescent="0.25">
      <c r="B431" s="19">
        <v>29604</v>
      </c>
      <c r="C431" s="19"/>
      <c r="D431" s="19"/>
      <c r="E431" s="19"/>
      <c r="F431" s="19"/>
      <c r="G431" s="58"/>
      <c r="H431" s="68"/>
      <c r="I431" s="145"/>
      <c r="J431" s="146"/>
      <c r="K431" s="20"/>
      <c r="L431" s="21">
        <f>L432</f>
        <v>14263</v>
      </c>
      <c r="M431" s="44">
        <v>20003</v>
      </c>
      <c r="N431" s="41"/>
      <c r="O431" s="41"/>
      <c r="P431" s="41"/>
      <c r="Q431" s="41"/>
      <c r="R431" s="41"/>
      <c r="S431" s="41"/>
      <c r="T431" s="43"/>
      <c r="U431" s="41"/>
      <c r="V431" s="41"/>
      <c r="W431" s="41"/>
      <c r="X431" s="43"/>
      <c r="Y431" s="41"/>
      <c r="Z431" s="43"/>
      <c r="AA431" s="41"/>
      <c r="AB431" s="43"/>
      <c r="AC431" s="41"/>
      <c r="AD431" s="41"/>
      <c r="AE431" s="41"/>
      <c r="AF431" s="41"/>
      <c r="AG431" s="41"/>
      <c r="AH431" s="41"/>
      <c r="AI431" s="41"/>
      <c r="AJ431" s="41"/>
      <c r="AK431" s="41"/>
      <c r="AL431" s="33"/>
    </row>
    <row r="432" spans="2:38" ht="57.75" x14ac:dyDescent="0.25">
      <c r="B432" s="14">
        <v>29604</v>
      </c>
      <c r="C432" s="14" t="s">
        <v>376</v>
      </c>
      <c r="D432" s="49">
        <v>0</v>
      </c>
      <c r="E432" s="14">
        <v>2</v>
      </c>
      <c r="F432" s="14" t="s">
        <v>49</v>
      </c>
      <c r="G432" s="27" t="s">
        <v>89</v>
      </c>
      <c r="H432" s="28" t="s">
        <v>43</v>
      </c>
      <c r="I432" s="143" t="s">
        <v>44</v>
      </c>
      <c r="J432" s="144"/>
      <c r="K432" s="17">
        <f>14263/2</f>
        <v>7131.5</v>
      </c>
      <c r="L432" s="17">
        <f>E432*K432</f>
        <v>14263</v>
      </c>
      <c r="M432" s="40"/>
      <c r="N432" s="41">
        <v>0</v>
      </c>
      <c r="O432" s="41">
        <f t="shared" ref="O432" si="355">N432*K432</f>
        <v>0</v>
      </c>
      <c r="P432" s="41">
        <v>0</v>
      </c>
      <c r="Q432" s="41">
        <f t="shared" ref="Q432" si="356">K432*P432</f>
        <v>0</v>
      </c>
      <c r="R432" s="41">
        <v>0</v>
      </c>
      <c r="S432" s="41">
        <f t="shared" ref="S432" si="357">K432*R432</f>
        <v>0</v>
      </c>
      <c r="T432" s="43">
        <v>0</v>
      </c>
      <c r="U432" s="41">
        <f t="shared" ref="U432" si="358">K432*T432</f>
        <v>0</v>
      </c>
      <c r="V432" s="41">
        <v>0</v>
      </c>
      <c r="W432" s="41">
        <f t="shared" ref="W432" si="359">K432*V432</f>
        <v>0</v>
      </c>
      <c r="X432" s="43">
        <v>0</v>
      </c>
      <c r="Y432" s="41">
        <f t="shared" ref="Y432" si="360">K432*X432</f>
        <v>0</v>
      </c>
      <c r="Z432" s="43">
        <v>0</v>
      </c>
      <c r="AA432" s="41">
        <f t="shared" ref="AA432" si="361">K432*Z432</f>
        <v>0</v>
      </c>
      <c r="AB432" s="43">
        <v>1</v>
      </c>
      <c r="AC432" s="41">
        <f t="shared" ref="AC432" si="362">K432*AB432</f>
        <v>7131.5</v>
      </c>
      <c r="AD432" s="41">
        <v>0</v>
      </c>
      <c r="AE432" s="41">
        <f t="shared" ref="AE432" si="363">K432*AD432</f>
        <v>0</v>
      </c>
      <c r="AF432" s="41">
        <v>1</v>
      </c>
      <c r="AG432" s="41">
        <f t="shared" ref="AG432" si="364">K432*AF432</f>
        <v>7131.5</v>
      </c>
      <c r="AH432" s="41">
        <v>0</v>
      </c>
      <c r="AI432" s="41">
        <f t="shared" ref="AI432" si="365">K432*AH432</f>
        <v>0</v>
      </c>
      <c r="AJ432" s="41">
        <v>0</v>
      </c>
      <c r="AK432" s="41">
        <f t="shared" ref="AK432" si="366">K432*AJ432</f>
        <v>0</v>
      </c>
      <c r="AL432" s="33">
        <f t="shared" ref="AL432:AL518" si="367">O432+Q432+S432+U432+W432+Y432+AA432+AC432+AE432+AG432+AI432+AK432</f>
        <v>14263</v>
      </c>
    </row>
    <row r="433" spans="2:38" x14ac:dyDescent="0.25">
      <c r="B433" s="19">
        <v>29605</v>
      </c>
      <c r="C433" s="19"/>
      <c r="D433" s="19"/>
      <c r="E433" s="19"/>
      <c r="F433" s="19"/>
      <c r="G433" s="58"/>
      <c r="H433" s="68"/>
      <c r="I433" s="145"/>
      <c r="J433" s="146"/>
      <c r="K433" s="20"/>
      <c r="L433" s="21">
        <f>L434</f>
        <v>2</v>
      </c>
      <c r="M433" s="44">
        <v>20003</v>
      </c>
      <c r="N433" s="41"/>
      <c r="O433" s="41"/>
      <c r="P433" s="41"/>
      <c r="Q433" s="41"/>
      <c r="R433" s="41"/>
      <c r="S433" s="41"/>
      <c r="T433" s="43"/>
      <c r="U433" s="41"/>
      <c r="V433" s="41"/>
      <c r="W433" s="41"/>
      <c r="X433" s="43"/>
      <c r="Y433" s="41"/>
      <c r="Z433" s="43"/>
      <c r="AA433" s="41"/>
      <c r="AB433" s="43"/>
      <c r="AC433" s="41"/>
      <c r="AD433" s="41"/>
      <c r="AE433" s="41"/>
      <c r="AF433" s="41"/>
      <c r="AG433" s="41"/>
      <c r="AH433" s="41"/>
      <c r="AI433" s="41"/>
      <c r="AJ433" s="41"/>
      <c r="AK433" s="41"/>
      <c r="AL433" s="33"/>
    </row>
    <row r="434" spans="2:38" ht="57.75" x14ac:dyDescent="0.25">
      <c r="B434" s="14">
        <v>29605</v>
      </c>
      <c r="C434" s="14" t="s">
        <v>513</v>
      </c>
      <c r="D434" s="49">
        <v>0</v>
      </c>
      <c r="E434" s="14">
        <v>1</v>
      </c>
      <c r="F434" s="14" t="s">
        <v>49</v>
      </c>
      <c r="G434" s="27" t="s">
        <v>89</v>
      </c>
      <c r="H434" s="28" t="s">
        <v>43</v>
      </c>
      <c r="I434" s="143" t="s">
        <v>44</v>
      </c>
      <c r="J434" s="144"/>
      <c r="K434" s="17">
        <v>2</v>
      </c>
      <c r="L434" s="17">
        <f>E434*K434</f>
        <v>2</v>
      </c>
      <c r="M434" s="40"/>
      <c r="N434" s="41">
        <v>0</v>
      </c>
      <c r="O434" s="41">
        <f t="shared" ref="O434" si="368">N434*K434</f>
        <v>0</v>
      </c>
      <c r="P434" s="41">
        <v>0</v>
      </c>
      <c r="Q434" s="41">
        <f t="shared" ref="Q434" si="369">K434*P434</f>
        <v>0</v>
      </c>
      <c r="R434" s="41">
        <v>0</v>
      </c>
      <c r="S434" s="41">
        <f t="shared" ref="S434" si="370">K434*R434</f>
        <v>0</v>
      </c>
      <c r="T434" s="43">
        <v>0</v>
      </c>
      <c r="U434" s="41">
        <f t="shared" ref="U434" si="371">K434*T434</f>
        <v>0</v>
      </c>
      <c r="V434" s="41">
        <v>0</v>
      </c>
      <c r="W434" s="41">
        <f t="shared" ref="W434" si="372">K434*V434</f>
        <v>0</v>
      </c>
      <c r="X434" s="43">
        <v>0</v>
      </c>
      <c r="Y434" s="41">
        <f t="shared" ref="Y434" si="373">K434*X434</f>
        <v>0</v>
      </c>
      <c r="Z434" s="43">
        <v>0</v>
      </c>
      <c r="AA434" s="41">
        <f t="shared" ref="AA434" si="374">K434*Z434</f>
        <v>0</v>
      </c>
      <c r="AB434" s="43">
        <v>1</v>
      </c>
      <c r="AC434" s="41">
        <f t="shared" ref="AC434" si="375">K434*AB434</f>
        <v>2</v>
      </c>
      <c r="AD434" s="41">
        <v>0</v>
      </c>
      <c r="AE434" s="41">
        <f t="shared" ref="AE434" si="376">K434*AD434</f>
        <v>0</v>
      </c>
      <c r="AF434" s="41">
        <v>1</v>
      </c>
      <c r="AG434" s="41">
        <f t="shared" ref="AG434" si="377">K434*AF434</f>
        <v>2</v>
      </c>
      <c r="AH434" s="41">
        <v>0</v>
      </c>
      <c r="AI434" s="41">
        <f t="shared" ref="AI434" si="378">K434*AH434</f>
        <v>0</v>
      </c>
      <c r="AJ434" s="41">
        <v>0</v>
      </c>
      <c r="AK434" s="41">
        <f t="shared" ref="AK434" si="379">K434*AJ434</f>
        <v>0</v>
      </c>
      <c r="AL434" s="33">
        <f t="shared" ref="AL434" si="380">O434+Q434+S434+U434+W434+Y434+AA434+AC434+AE434+AG434+AI434+AK434</f>
        <v>4</v>
      </c>
    </row>
    <row r="435" spans="2:38" x14ac:dyDescent="0.25">
      <c r="B435" s="19">
        <v>29606</v>
      </c>
      <c r="C435" s="19"/>
      <c r="D435" s="19"/>
      <c r="E435" s="19"/>
      <c r="F435" s="19"/>
      <c r="G435" s="58"/>
      <c r="H435" s="68"/>
      <c r="I435" s="145"/>
      <c r="J435" s="146"/>
      <c r="K435" s="20"/>
      <c r="L435" s="21">
        <f>L436</f>
        <v>1</v>
      </c>
      <c r="M435" s="44">
        <v>20003</v>
      </c>
      <c r="N435" s="41"/>
      <c r="O435" s="41"/>
      <c r="P435" s="41"/>
      <c r="Q435" s="41"/>
      <c r="R435" s="41"/>
      <c r="S435" s="41"/>
      <c r="T435" s="43"/>
      <c r="U435" s="41"/>
      <c r="V435" s="41"/>
      <c r="W435" s="41"/>
      <c r="X435" s="43"/>
      <c r="Y435" s="41"/>
      <c r="Z435" s="43"/>
      <c r="AA435" s="41"/>
      <c r="AB435" s="43"/>
      <c r="AC435" s="41"/>
      <c r="AD435" s="41"/>
      <c r="AE435" s="41"/>
      <c r="AF435" s="41"/>
      <c r="AG435" s="41"/>
      <c r="AH435" s="41"/>
      <c r="AI435" s="41"/>
      <c r="AJ435" s="41"/>
      <c r="AK435" s="41"/>
      <c r="AL435" s="33"/>
    </row>
    <row r="436" spans="2:38" ht="57.75" x14ac:dyDescent="0.25">
      <c r="B436" s="14">
        <v>29606</v>
      </c>
      <c r="C436" s="14" t="s">
        <v>514</v>
      </c>
      <c r="D436" s="49">
        <v>0</v>
      </c>
      <c r="E436" s="14">
        <v>1</v>
      </c>
      <c r="F436" s="14" t="s">
        <v>49</v>
      </c>
      <c r="G436" s="27" t="s">
        <v>89</v>
      </c>
      <c r="H436" s="28" t="s">
        <v>43</v>
      </c>
      <c r="I436" s="143" t="s">
        <v>44</v>
      </c>
      <c r="J436" s="144"/>
      <c r="K436" s="17">
        <v>1</v>
      </c>
      <c r="L436" s="17">
        <f>E436*K436</f>
        <v>1</v>
      </c>
      <c r="M436" s="40"/>
      <c r="N436" s="41">
        <v>0</v>
      </c>
      <c r="O436" s="41">
        <f t="shared" ref="O436" si="381">N436*K436</f>
        <v>0</v>
      </c>
      <c r="P436" s="41">
        <v>0</v>
      </c>
      <c r="Q436" s="41">
        <f t="shared" ref="Q436" si="382">K436*P436</f>
        <v>0</v>
      </c>
      <c r="R436" s="41">
        <v>0</v>
      </c>
      <c r="S436" s="41">
        <f t="shared" ref="S436" si="383">K436*R436</f>
        <v>0</v>
      </c>
      <c r="T436" s="43">
        <v>0</v>
      </c>
      <c r="U436" s="41">
        <f t="shared" ref="U436" si="384">K436*T436</f>
        <v>0</v>
      </c>
      <c r="V436" s="41">
        <v>0</v>
      </c>
      <c r="W436" s="41">
        <f t="shared" ref="W436" si="385">K436*V436</f>
        <v>0</v>
      </c>
      <c r="X436" s="43">
        <v>0</v>
      </c>
      <c r="Y436" s="41">
        <f t="shared" ref="Y436" si="386">K436*X436</f>
        <v>0</v>
      </c>
      <c r="Z436" s="43">
        <v>0</v>
      </c>
      <c r="AA436" s="41">
        <f t="shared" ref="AA436" si="387">K436*Z436</f>
        <v>0</v>
      </c>
      <c r="AB436" s="43">
        <v>1</v>
      </c>
      <c r="AC436" s="41">
        <f t="shared" ref="AC436" si="388">K436*AB436</f>
        <v>1</v>
      </c>
      <c r="AD436" s="41">
        <v>0</v>
      </c>
      <c r="AE436" s="41">
        <f t="shared" ref="AE436" si="389">K436*AD436</f>
        <v>0</v>
      </c>
      <c r="AF436" s="41">
        <v>1</v>
      </c>
      <c r="AG436" s="41">
        <f t="shared" ref="AG436" si="390">K436*AF436</f>
        <v>1</v>
      </c>
      <c r="AH436" s="41">
        <v>0</v>
      </c>
      <c r="AI436" s="41">
        <f t="shared" ref="AI436" si="391">K436*AH436</f>
        <v>0</v>
      </c>
      <c r="AJ436" s="41">
        <v>0</v>
      </c>
      <c r="AK436" s="41">
        <f t="shared" ref="AK436" si="392">K436*AJ436</f>
        <v>0</v>
      </c>
      <c r="AL436" s="33">
        <f t="shared" ref="AL436" si="393">O436+Q436+S436+U436+W436+Y436+AA436+AC436+AE436+AG436+AI436+AK436</f>
        <v>2</v>
      </c>
    </row>
    <row r="437" spans="2:38" x14ac:dyDescent="0.25">
      <c r="B437" s="19">
        <v>29607</v>
      </c>
      <c r="C437" s="19"/>
      <c r="D437" s="19"/>
      <c r="E437" s="19"/>
      <c r="F437" s="19"/>
      <c r="G437" s="58"/>
      <c r="H437" s="68"/>
      <c r="I437" s="145"/>
      <c r="J437" s="146"/>
      <c r="K437" s="20"/>
      <c r="L437" s="21">
        <f>L438</f>
        <v>6</v>
      </c>
      <c r="M437" s="44">
        <v>3000</v>
      </c>
      <c r="N437" s="41"/>
      <c r="O437" s="41"/>
      <c r="P437" s="41"/>
      <c r="Q437" s="41"/>
      <c r="R437" s="41"/>
      <c r="S437" s="41"/>
      <c r="T437" s="43"/>
      <c r="U437" s="41"/>
      <c r="V437" s="41"/>
      <c r="W437" s="41"/>
      <c r="X437" s="43"/>
      <c r="Y437" s="41"/>
      <c r="Z437" s="43"/>
      <c r="AA437" s="41"/>
      <c r="AB437" s="43"/>
      <c r="AC437" s="41"/>
      <c r="AD437" s="41"/>
      <c r="AE437" s="41"/>
      <c r="AF437" s="41"/>
      <c r="AG437" s="41"/>
      <c r="AH437" s="41"/>
      <c r="AI437" s="41"/>
      <c r="AJ437" s="41"/>
      <c r="AK437" s="41"/>
      <c r="AL437" s="33"/>
    </row>
    <row r="438" spans="2:38" ht="57.75" x14ac:dyDescent="0.25">
      <c r="B438" s="14">
        <v>29607</v>
      </c>
      <c r="C438" s="14" t="s">
        <v>377</v>
      </c>
      <c r="D438" s="49">
        <v>0</v>
      </c>
      <c r="E438" s="14">
        <v>1</v>
      </c>
      <c r="F438" s="14" t="s">
        <v>49</v>
      </c>
      <c r="G438" s="27" t="s">
        <v>89</v>
      </c>
      <c r="H438" s="28" t="s">
        <v>43</v>
      </c>
      <c r="I438" s="143" t="s">
        <v>44</v>
      </c>
      <c r="J438" s="144"/>
      <c r="K438" s="17">
        <v>6</v>
      </c>
      <c r="L438" s="17">
        <f>E438*K438</f>
        <v>6</v>
      </c>
      <c r="M438" s="40"/>
      <c r="N438" s="41">
        <v>0</v>
      </c>
      <c r="O438" s="41">
        <f t="shared" ref="O438" si="394">N438*K438</f>
        <v>0</v>
      </c>
      <c r="P438" s="41">
        <v>0</v>
      </c>
      <c r="Q438" s="41">
        <v>0</v>
      </c>
      <c r="R438" s="41">
        <v>0</v>
      </c>
      <c r="S438" s="41">
        <f t="shared" ref="S438" si="395">K438*R438</f>
        <v>0</v>
      </c>
      <c r="T438" s="43">
        <v>1</v>
      </c>
      <c r="U438" s="41">
        <f t="shared" ref="U438" si="396">K438*T438</f>
        <v>6</v>
      </c>
      <c r="V438" s="41">
        <v>0</v>
      </c>
      <c r="W438" s="41">
        <f t="shared" ref="W438" si="397">K438*V438</f>
        <v>0</v>
      </c>
      <c r="X438" s="43">
        <v>0</v>
      </c>
      <c r="Y438" s="41">
        <f t="shared" ref="Y438" si="398">K438*X438</f>
        <v>0</v>
      </c>
      <c r="Z438" s="43">
        <v>0</v>
      </c>
      <c r="AA438" s="41">
        <f t="shared" ref="AA438" si="399">K438*Z438</f>
        <v>0</v>
      </c>
      <c r="AB438" s="43">
        <v>1</v>
      </c>
      <c r="AC438" s="41">
        <f t="shared" ref="AC438" si="400">K438*AB438</f>
        <v>6</v>
      </c>
      <c r="AD438" s="41">
        <v>0</v>
      </c>
      <c r="AE438" s="41">
        <f t="shared" ref="AE438" si="401">K438*AD438</f>
        <v>0</v>
      </c>
      <c r="AF438" s="41">
        <v>0</v>
      </c>
      <c r="AG438" s="41">
        <f t="shared" ref="AG438" si="402">K438*AF438</f>
        <v>0</v>
      </c>
      <c r="AH438" s="41">
        <v>0</v>
      </c>
      <c r="AI438" s="41">
        <f t="shared" ref="AI438" si="403">K438*AH438</f>
        <v>0</v>
      </c>
      <c r="AJ438" s="41">
        <v>0</v>
      </c>
      <c r="AK438" s="41">
        <f t="shared" ref="AK438" si="404">K438*AJ438</f>
        <v>0</v>
      </c>
      <c r="AL438" s="33">
        <f t="shared" si="367"/>
        <v>12</v>
      </c>
    </row>
    <row r="439" spans="2:38" x14ac:dyDescent="0.25">
      <c r="B439" s="19">
        <v>29608</v>
      </c>
      <c r="C439" s="19"/>
      <c r="D439" s="19"/>
      <c r="E439" s="19"/>
      <c r="F439" s="19"/>
      <c r="G439" s="58"/>
      <c r="H439" s="68"/>
      <c r="I439" s="145"/>
      <c r="J439" s="146"/>
      <c r="K439" s="20"/>
      <c r="L439" s="21">
        <f>L440</f>
        <v>6497</v>
      </c>
      <c r="M439" s="44">
        <v>3000</v>
      </c>
      <c r="N439" s="41"/>
      <c r="O439" s="41"/>
      <c r="P439" s="41"/>
      <c r="Q439" s="41"/>
      <c r="R439" s="41"/>
      <c r="S439" s="41"/>
      <c r="T439" s="43"/>
      <c r="U439" s="41"/>
      <c r="V439" s="41"/>
      <c r="W439" s="41"/>
      <c r="X439" s="43"/>
      <c r="Y439" s="41"/>
      <c r="Z439" s="43"/>
      <c r="AA439" s="41"/>
      <c r="AB439" s="43"/>
      <c r="AC439" s="41"/>
      <c r="AD439" s="41"/>
      <c r="AE439" s="41"/>
      <c r="AF439" s="41"/>
      <c r="AG439" s="41"/>
      <c r="AH439" s="41"/>
      <c r="AI439" s="41"/>
      <c r="AJ439" s="41"/>
      <c r="AK439" s="41"/>
      <c r="AL439" s="33"/>
    </row>
    <row r="440" spans="2:38" ht="57.75" x14ac:dyDescent="0.25">
      <c r="B440" s="14">
        <v>29608</v>
      </c>
      <c r="C440" s="14" t="s">
        <v>378</v>
      </c>
      <c r="D440" s="49">
        <v>0</v>
      </c>
      <c r="E440" s="14">
        <v>1</v>
      </c>
      <c r="F440" s="14" t="s">
        <v>379</v>
      </c>
      <c r="G440" s="27" t="s">
        <v>89</v>
      </c>
      <c r="H440" s="28" t="s">
        <v>43</v>
      </c>
      <c r="I440" s="143" t="s">
        <v>44</v>
      </c>
      <c r="J440" s="144"/>
      <c r="K440" s="17">
        <v>6497</v>
      </c>
      <c r="L440" s="17">
        <f>E440*K440</f>
        <v>6497</v>
      </c>
      <c r="M440" s="40"/>
      <c r="N440" s="41">
        <v>0</v>
      </c>
      <c r="O440" s="41">
        <f t="shared" ref="O440" si="405">N440*K440</f>
        <v>0</v>
      </c>
      <c r="P440" s="41">
        <v>1</v>
      </c>
      <c r="Q440" s="41">
        <f t="shared" ref="Q440" si="406">K440*P440</f>
        <v>6497</v>
      </c>
      <c r="R440" s="41">
        <v>0</v>
      </c>
      <c r="S440" s="41">
        <f t="shared" ref="S440" si="407">K440*R440</f>
        <v>0</v>
      </c>
      <c r="T440" s="43">
        <v>0</v>
      </c>
      <c r="U440" s="41">
        <f t="shared" ref="U440" si="408">K440*T440</f>
        <v>0</v>
      </c>
      <c r="V440" s="41">
        <v>1</v>
      </c>
      <c r="W440" s="41">
        <f t="shared" ref="W440" si="409">K440*V440</f>
        <v>6497</v>
      </c>
      <c r="X440" s="43">
        <v>0</v>
      </c>
      <c r="Y440" s="41">
        <f t="shared" ref="Y440" si="410">K440*X440</f>
        <v>0</v>
      </c>
      <c r="Z440" s="43">
        <v>0</v>
      </c>
      <c r="AA440" s="41">
        <f t="shared" ref="AA440" si="411">K440*Z440</f>
        <v>0</v>
      </c>
      <c r="AB440" s="43">
        <v>1</v>
      </c>
      <c r="AC440" s="41">
        <f t="shared" ref="AC440" si="412">K440*AB440</f>
        <v>6497</v>
      </c>
      <c r="AD440" s="41">
        <v>0</v>
      </c>
      <c r="AE440" s="41">
        <f t="shared" ref="AE440" si="413">K440*AD440</f>
        <v>0</v>
      </c>
      <c r="AF440" s="41">
        <v>0</v>
      </c>
      <c r="AG440" s="41">
        <f t="shared" ref="AG440" si="414">K440*AF440</f>
        <v>0</v>
      </c>
      <c r="AH440" s="41">
        <v>0</v>
      </c>
      <c r="AI440" s="41">
        <f t="shared" ref="AI440" si="415">K440*AH440</f>
        <v>0</v>
      </c>
      <c r="AJ440" s="41">
        <v>0</v>
      </c>
      <c r="AK440" s="41">
        <f t="shared" ref="AK440" si="416">K440*AJ440</f>
        <v>0</v>
      </c>
      <c r="AL440" s="33">
        <f t="shared" si="367"/>
        <v>19491</v>
      </c>
    </row>
    <row r="441" spans="2:38" x14ac:dyDescent="0.25">
      <c r="B441" s="19">
        <v>29609</v>
      </c>
      <c r="C441" s="19"/>
      <c r="D441" s="19"/>
      <c r="E441" s="19"/>
      <c r="F441" s="19"/>
      <c r="G441" s="58"/>
      <c r="H441" s="68"/>
      <c r="I441" s="145"/>
      <c r="J441" s="146"/>
      <c r="K441" s="20"/>
      <c r="L441" s="21">
        <f>L442</f>
        <v>97992</v>
      </c>
      <c r="M441" s="44">
        <v>98000</v>
      </c>
      <c r="N441" s="41"/>
      <c r="O441" s="41"/>
      <c r="P441" s="41"/>
      <c r="Q441" s="41"/>
      <c r="R441" s="41"/>
      <c r="S441" s="41"/>
      <c r="T441" s="43"/>
      <c r="U441" s="41"/>
      <c r="V441" s="41"/>
      <c r="W441" s="41"/>
      <c r="X441" s="43"/>
      <c r="Y441" s="41"/>
      <c r="Z441" s="43"/>
      <c r="AA441" s="41"/>
      <c r="AB441" s="43"/>
      <c r="AC441" s="41"/>
      <c r="AD441" s="41"/>
      <c r="AE441" s="41"/>
      <c r="AF441" s="41"/>
      <c r="AG441" s="41"/>
      <c r="AH441" s="41"/>
      <c r="AI441" s="41"/>
      <c r="AJ441" s="41"/>
      <c r="AK441" s="41"/>
      <c r="AL441" s="33"/>
    </row>
    <row r="442" spans="2:38" ht="57.75" x14ac:dyDescent="0.25">
      <c r="B442" s="14">
        <v>29609</v>
      </c>
      <c r="C442" s="14" t="s">
        <v>380</v>
      </c>
      <c r="D442" s="49">
        <v>0</v>
      </c>
      <c r="E442" s="14">
        <v>27</v>
      </c>
      <c r="F442" s="14" t="s">
        <v>49</v>
      </c>
      <c r="G442" s="27" t="s">
        <v>89</v>
      </c>
      <c r="H442" s="28" t="s">
        <v>43</v>
      </c>
      <c r="I442" s="143" t="s">
        <v>44</v>
      </c>
      <c r="J442" s="144"/>
      <c r="K442" s="17">
        <f>97992/27</f>
        <v>3629.3333333333335</v>
      </c>
      <c r="L442" s="17">
        <f>E442*K442</f>
        <v>97992</v>
      </c>
      <c r="M442" s="40"/>
      <c r="N442" s="41">
        <v>0</v>
      </c>
      <c r="O442" s="41">
        <v>0</v>
      </c>
      <c r="P442" s="41">
        <v>4</v>
      </c>
      <c r="Q442" s="41">
        <f t="shared" ref="Q442" si="417">K442*P442</f>
        <v>14517.333333333334</v>
      </c>
      <c r="R442" s="41">
        <v>2</v>
      </c>
      <c r="S442" s="41">
        <f t="shared" ref="S442" si="418">K442*R442</f>
        <v>7258.666666666667</v>
      </c>
      <c r="T442" s="43">
        <v>5</v>
      </c>
      <c r="U442" s="41">
        <f t="shared" ref="U442" si="419">K442*T442</f>
        <v>18146.666666666668</v>
      </c>
      <c r="V442" s="41">
        <v>2</v>
      </c>
      <c r="W442" s="41">
        <f t="shared" ref="W442" si="420">K442*V442</f>
        <v>7258.666666666667</v>
      </c>
      <c r="X442" s="43">
        <v>2</v>
      </c>
      <c r="Y442" s="41">
        <f t="shared" ref="Y442" si="421">K442*X442</f>
        <v>7258.666666666667</v>
      </c>
      <c r="Z442" s="43">
        <v>4</v>
      </c>
      <c r="AA442" s="41">
        <f t="shared" ref="AA442" si="422">K442*Z442</f>
        <v>14517.333333333334</v>
      </c>
      <c r="AB442" s="43">
        <v>2</v>
      </c>
      <c r="AC442" s="41">
        <f t="shared" ref="AC442" si="423">K442*AB442</f>
        <v>7258.666666666667</v>
      </c>
      <c r="AD442" s="41">
        <v>2</v>
      </c>
      <c r="AE442" s="41">
        <f t="shared" ref="AE442" si="424">K442*AD442</f>
        <v>7258.666666666667</v>
      </c>
      <c r="AF442" s="41">
        <v>2</v>
      </c>
      <c r="AG442" s="41">
        <f t="shared" ref="AG442" si="425">K442*AF442</f>
        <v>7258.666666666667</v>
      </c>
      <c r="AH442" s="41">
        <v>2</v>
      </c>
      <c r="AI442" s="41">
        <f t="shared" ref="AI442" si="426">K442*AH442</f>
        <v>7258.666666666667</v>
      </c>
      <c r="AJ442" s="41">
        <v>0</v>
      </c>
      <c r="AK442" s="41">
        <f t="shared" ref="AK442" si="427">K442*AJ442</f>
        <v>0</v>
      </c>
      <c r="AL442" s="33">
        <f t="shared" si="367"/>
        <v>97992.000000000015</v>
      </c>
    </row>
    <row r="443" spans="2:38" x14ac:dyDescent="0.25">
      <c r="B443" s="19">
        <v>29700</v>
      </c>
      <c r="C443" s="19"/>
      <c r="D443" s="19"/>
      <c r="E443" s="19"/>
      <c r="F443" s="19"/>
      <c r="G443" s="58"/>
      <c r="H443" s="68"/>
      <c r="I443" s="145"/>
      <c r="J443" s="146"/>
      <c r="K443" s="20"/>
      <c r="L443" s="21">
        <f>L444</f>
        <v>1</v>
      </c>
      <c r="M443" s="44">
        <v>3000</v>
      </c>
      <c r="N443" s="41"/>
      <c r="O443" s="41"/>
      <c r="P443" s="41"/>
      <c r="Q443" s="41"/>
      <c r="R443" s="41"/>
      <c r="S443" s="41"/>
      <c r="T443" s="43"/>
      <c r="U443" s="41"/>
      <c r="V443" s="41"/>
      <c r="W443" s="41"/>
      <c r="X443" s="43"/>
      <c r="Y443" s="41"/>
      <c r="Z443" s="43"/>
      <c r="AA443" s="41"/>
      <c r="AB443" s="43"/>
      <c r="AC443" s="41"/>
      <c r="AD443" s="41"/>
      <c r="AE443" s="41"/>
      <c r="AF443" s="41"/>
      <c r="AG443" s="41"/>
      <c r="AH443" s="41"/>
      <c r="AI443" s="41"/>
      <c r="AJ443" s="41"/>
      <c r="AK443" s="41"/>
      <c r="AL443" s="33"/>
    </row>
    <row r="444" spans="2:38" ht="57.75" x14ac:dyDescent="0.25">
      <c r="B444" s="14">
        <v>29701</v>
      </c>
      <c r="C444" s="14" t="s">
        <v>515</v>
      </c>
      <c r="D444" s="49">
        <v>0</v>
      </c>
      <c r="E444" s="14">
        <v>1</v>
      </c>
      <c r="F444" s="14" t="s">
        <v>379</v>
      </c>
      <c r="G444" s="27" t="s">
        <v>89</v>
      </c>
      <c r="H444" s="28" t="s">
        <v>43</v>
      </c>
      <c r="I444" s="143" t="s">
        <v>44</v>
      </c>
      <c r="J444" s="144"/>
      <c r="K444" s="17">
        <v>1</v>
      </c>
      <c r="L444" s="17">
        <f>E444*K444</f>
        <v>1</v>
      </c>
      <c r="M444" s="40"/>
      <c r="N444" s="41">
        <v>0</v>
      </c>
      <c r="O444" s="41">
        <f t="shared" ref="O444" si="428">N444*K444</f>
        <v>0</v>
      </c>
      <c r="P444" s="41">
        <v>1</v>
      </c>
      <c r="Q444" s="41">
        <f t="shared" ref="Q444" si="429">K444*P444</f>
        <v>1</v>
      </c>
      <c r="R444" s="41">
        <v>0</v>
      </c>
      <c r="S444" s="41">
        <f t="shared" ref="S444" si="430">K444*R444</f>
        <v>0</v>
      </c>
      <c r="T444" s="43">
        <v>0</v>
      </c>
      <c r="U444" s="41">
        <f t="shared" ref="U444" si="431">K444*T444</f>
        <v>0</v>
      </c>
      <c r="V444" s="41">
        <v>1</v>
      </c>
      <c r="W444" s="41">
        <f t="shared" ref="W444" si="432">K444*V444</f>
        <v>1</v>
      </c>
      <c r="X444" s="43">
        <v>0</v>
      </c>
      <c r="Y444" s="41">
        <f t="shared" ref="Y444" si="433">K444*X444</f>
        <v>0</v>
      </c>
      <c r="Z444" s="43">
        <v>0</v>
      </c>
      <c r="AA444" s="41">
        <f t="shared" ref="AA444" si="434">K444*Z444</f>
        <v>0</v>
      </c>
      <c r="AB444" s="43">
        <v>1</v>
      </c>
      <c r="AC444" s="41">
        <f t="shared" ref="AC444" si="435">K444*AB444</f>
        <v>1</v>
      </c>
      <c r="AD444" s="41">
        <v>0</v>
      </c>
      <c r="AE444" s="41">
        <f t="shared" ref="AE444" si="436">K444*AD444</f>
        <v>0</v>
      </c>
      <c r="AF444" s="41">
        <v>0</v>
      </c>
      <c r="AG444" s="41">
        <f t="shared" ref="AG444" si="437">K444*AF444</f>
        <v>0</v>
      </c>
      <c r="AH444" s="41">
        <v>0</v>
      </c>
      <c r="AI444" s="41">
        <f t="shared" ref="AI444" si="438">K444*AH444</f>
        <v>0</v>
      </c>
      <c r="AJ444" s="41">
        <v>0</v>
      </c>
      <c r="AK444" s="41">
        <f t="shared" ref="AK444" si="439">K444*AJ444</f>
        <v>0</v>
      </c>
      <c r="AL444" s="33">
        <f t="shared" ref="AL444" si="440">O444+Q444+S444+U444+W444+Y444+AA444+AC444+AE444+AG444+AI444+AK444</f>
        <v>3</v>
      </c>
    </row>
    <row r="445" spans="2:38" x14ac:dyDescent="0.25">
      <c r="B445" s="19">
        <v>29900</v>
      </c>
      <c r="C445" s="19"/>
      <c r="D445" s="19"/>
      <c r="E445" s="19"/>
      <c r="F445" s="19"/>
      <c r="G445" s="58"/>
      <c r="H445" s="59"/>
      <c r="I445" s="145"/>
      <c r="J445" s="146"/>
      <c r="K445" s="20"/>
      <c r="L445" s="21">
        <f>L446+L448+L450+L451+L452+L453+L454</f>
        <v>405</v>
      </c>
      <c r="M445" s="60">
        <f>M446+M448</f>
        <v>14005</v>
      </c>
      <c r="N445" s="41"/>
      <c r="O445" s="41"/>
      <c r="P445" s="41"/>
      <c r="Q445" s="41"/>
      <c r="R445" s="41"/>
      <c r="S445" s="41"/>
      <c r="T445" s="43"/>
      <c r="U445" s="41"/>
      <c r="V445" s="41"/>
      <c r="W445" s="41"/>
      <c r="X445" s="43"/>
      <c r="Y445" s="41"/>
      <c r="Z445" s="43"/>
      <c r="AA445" s="41"/>
      <c r="AB445" s="43"/>
      <c r="AC445" s="41"/>
      <c r="AD445" s="41"/>
      <c r="AE445" s="41"/>
      <c r="AF445" s="41"/>
      <c r="AG445" s="41"/>
      <c r="AH445" s="41"/>
      <c r="AI445" s="41"/>
      <c r="AJ445" s="41"/>
      <c r="AK445" s="41"/>
      <c r="AL445" s="33"/>
    </row>
    <row r="446" spans="2:38" x14ac:dyDescent="0.25">
      <c r="B446" s="19">
        <v>29901</v>
      </c>
      <c r="C446" s="19"/>
      <c r="D446" s="19"/>
      <c r="E446" s="19"/>
      <c r="F446" s="19"/>
      <c r="G446" s="58"/>
      <c r="H446" s="59"/>
      <c r="I446" s="145"/>
      <c r="J446" s="146"/>
      <c r="K446" s="20"/>
      <c r="L446" s="21">
        <f>L447</f>
        <v>0</v>
      </c>
      <c r="M446" s="44">
        <v>1000</v>
      </c>
      <c r="N446" s="41"/>
      <c r="O446" s="41"/>
      <c r="P446" s="41"/>
      <c r="Q446" s="41"/>
      <c r="R446" s="41"/>
      <c r="S446" s="41"/>
      <c r="T446" s="43"/>
      <c r="U446" s="41"/>
      <c r="V446" s="41"/>
      <c r="W446" s="41"/>
      <c r="X446" s="43"/>
      <c r="Y446" s="41"/>
      <c r="Z446" s="43"/>
      <c r="AA446" s="41"/>
      <c r="AB446" s="43"/>
      <c r="AC446" s="41"/>
      <c r="AD446" s="41"/>
      <c r="AE446" s="41"/>
      <c r="AF446" s="41"/>
      <c r="AG446" s="41"/>
      <c r="AH446" s="41"/>
      <c r="AI446" s="41"/>
      <c r="AJ446" s="41"/>
      <c r="AK446" s="41"/>
      <c r="AL446" s="33"/>
    </row>
    <row r="447" spans="2:38" ht="57.75" x14ac:dyDescent="0.25">
      <c r="B447" s="49">
        <v>29901</v>
      </c>
      <c r="C447" s="49" t="s">
        <v>381</v>
      </c>
      <c r="D447" s="49">
        <v>0</v>
      </c>
      <c r="E447" s="49">
        <v>0</v>
      </c>
      <c r="F447" s="49" t="s">
        <v>49</v>
      </c>
      <c r="G447" s="27" t="s">
        <v>89</v>
      </c>
      <c r="H447" s="28" t="s">
        <v>43</v>
      </c>
      <c r="I447" s="143" t="s">
        <v>44</v>
      </c>
      <c r="J447" s="144"/>
      <c r="K447" s="50">
        <v>0</v>
      </c>
      <c r="L447" s="50">
        <f>E447*K447</f>
        <v>0</v>
      </c>
      <c r="M447" s="51"/>
      <c r="N447" s="41"/>
      <c r="O447" s="41"/>
      <c r="P447" s="41"/>
      <c r="Q447" s="41"/>
      <c r="R447" s="41">
        <v>1</v>
      </c>
      <c r="S447" s="41">
        <f t="shared" ref="S447" si="441">K447*R447</f>
        <v>0</v>
      </c>
      <c r="T447" s="43">
        <v>0</v>
      </c>
      <c r="U447" s="41">
        <f t="shared" ref="U447" si="442">K447*T447</f>
        <v>0</v>
      </c>
      <c r="V447" s="41">
        <v>0</v>
      </c>
      <c r="W447" s="41">
        <f t="shared" ref="W447" si="443">K447*V447</f>
        <v>0</v>
      </c>
      <c r="X447" s="43">
        <v>0</v>
      </c>
      <c r="Y447" s="41">
        <f t="shared" ref="Y447" si="444">K447*X447</f>
        <v>0</v>
      </c>
      <c r="Z447" s="43">
        <v>1</v>
      </c>
      <c r="AA447" s="41">
        <f t="shared" ref="AA447" si="445">K447*Z447</f>
        <v>0</v>
      </c>
      <c r="AB447" s="43">
        <v>0</v>
      </c>
      <c r="AC447" s="41">
        <f t="shared" ref="AC447" si="446">K447*AB447</f>
        <v>0</v>
      </c>
      <c r="AD447" s="41">
        <v>0</v>
      </c>
      <c r="AE447" s="41">
        <f t="shared" ref="AE447" si="447">K447*AD447</f>
        <v>0</v>
      </c>
      <c r="AF447" s="41">
        <v>0</v>
      </c>
      <c r="AG447" s="41">
        <f t="shared" ref="AG447" si="448">K447*AF447</f>
        <v>0</v>
      </c>
      <c r="AH447" s="41">
        <v>0</v>
      </c>
      <c r="AI447" s="41">
        <f t="shared" ref="AI447" si="449">K447*AH447</f>
        <v>0</v>
      </c>
      <c r="AJ447" s="41">
        <v>0</v>
      </c>
      <c r="AK447" s="41">
        <f t="shared" ref="AK447" si="450">K447*AJ447</f>
        <v>0</v>
      </c>
      <c r="AL447" s="33">
        <f t="shared" si="367"/>
        <v>0</v>
      </c>
    </row>
    <row r="448" spans="2:38" x14ac:dyDescent="0.25">
      <c r="B448" s="19">
        <v>29902</v>
      </c>
      <c r="C448" s="19"/>
      <c r="D448" s="19"/>
      <c r="E448" s="19"/>
      <c r="F448" s="19"/>
      <c r="G448" s="58"/>
      <c r="H448" s="68"/>
      <c r="I448" s="145"/>
      <c r="J448" s="146"/>
      <c r="K448" s="20"/>
      <c r="L448" s="21">
        <f>+L449</f>
        <v>400</v>
      </c>
      <c r="M448" s="44">
        <v>13005</v>
      </c>
      <c r="N448" s="41"/>
      <c r="O448" s="41"/>
      <c r="P448" s="41"/>
      <c r="Q448" s="41"/>
      <c r="R448" s="41"/>
      <c r="S448" s="41"/>
      <c r="T448" s="43"/>
      <c r="U448" s="41"/>
      <c r="V448" s="41"/>
      <c r="W448" s="41"/>
      <c r="X448" s="43"/>
      <c r="Y448" s="41"/>
      <c r="Z448" s="43"/>
      <c r="AA448" s="41"/>
      <c r="AB448" s="43"/>
      <c r="AC448" s="41"/>
      <c r="AD448" s="41"/>
      <c r="AE448" s="41"/>
      <c r="AF448" s="41"/>
      <c r="AG448" s="41"/>
      <c r="AH448" s="41"/>
      <c r="AI448" s="41"/>
      <c r="AJ448" s="41"/>
      <c r="AK448" s="41"/>
      <c r="AL448" s="33">
        <f t="shared" si="367"/>
        <v>0</v>
      </c>
    </row>
    <row r="449" spans="2:40" ht="57.75" x14ac:dyDescent="0.25">
      <c r="B449" s="49">
        <v>29902</v>
      </c>
      <c r="C449" s="49" t="s">
        <v>382</v>
      </c>
      <c r="D449" s="49">
        <v>0</v>
      </c>
      <c r="E449" s="49">
        <v>1</v>
      </c>
      <c r="F449" s="49" t="s">
        <v>49</v>
      </c>
      <c r="G449" s="64" t="s">
        <v>383</v>
      </c>
      <c r="H449" s="28" t="s">
        <v>43</v>
      </c>
      <c r="I449" s="143" t="s">
        <v>44</v>
      </c>
      <c r="J449" s="144"/>
      <c r="K449" s="50">
        <v>400</v>
      </c>
      <c r="L449" s="50">
        <f>E449*K449</f>
        <v>400</v>
      </c>
      <c r="M449" s="51"/>
      <c r="N449" s="41">
        <v>0</v>
      </c>
      <c r="O449" s="41">
        <v>0</v>
      </c>
      <c r="P449" s="41">
        <v>0</v>
      </c>
      <c r="Q449" s="41">
        <v>0</v>
      </c>
      <c r="R449" s="41">
        <v>0</v>
      </c>
      <c r="S449" s="41">
        <f t="shared" ref="S449:S454" si="451">K449*R449</f>
        <v>0</v>
      </c>
      <c r="T449" s="43">
        <v>0</v>
      </c>
      <c r="U449" s="41">
        <f t="shared" ref="U449" si="452">K449*T449</f>
        <v>0</v>
      </c>
      <c r="V449" s="41">
        <v>0</v>
      </c>
      <c r="W449" s="41">
        <f t="shared" ref="W449:W454" si="453">K449*V449</f>
        <v>0</v>
      </c>
      <c r="X449" s="43">
        <v>2</v>
      </c>
      <c r="Y449" s="41">
        <f t="shared" ref="Y449:Y454" si="454">K449*X449</f>
        <v>800</v>
      </c>
      <c r="Z449" s="43">
        <v>0</v>
      </c>
      <c r="AA449" s="41">
        <f t="shared" ref="AA449:AA454" si="455">K449*Z449</f>
        <v>0</v>
      </c>
      <c r="AB449" s="43">
        <v>0</v>
      </c>
      <c r="AC449" s="41">
        <f t="shared" ref="AC449:AC454" si="456">K449*AB449</f>
        <v>0</v>
      </c>
      <c r="AD449" s="41">
        <v>0</v>
      </c>
      <c r="AE449" s="41">
        <f t="shared" ref="AE449:AE454" si="457">K449*AD449</f>
        <v>0</v>
      </c>
      <c r="AF449" s="41">
        <v>0</v>
      </c>
      <c r="AG449" s="41">
        <f t="shared" ref="AG449:AG454" si="458">K449*AF449</f>
        <v>0</v>
      </c>
      <c r="AH449" s="41">
        <v>0</v>
      </c>
      <c r="AI449" s="41">
        <f t="shared" ref="AI449:AI454" si="459">K449*AH449</f>
        <v>0</v>
      </c>
      <c r="AJ449" s="41">
        <v>0</v>
      </c>
      <c r="AK449" s="41">
        <f t="shared" ref="AK449:AK454" si="460">K449*AJ449</f>
        <v>0</v>
      </c>
      <c r="AL449" s="33">
        <f t="shared" si="367"/>
        <v>800</v>
      </c>
    </row>
    <row r="450" spans="2:40" ht="57.75" x14ac:dyDescent="0.25">
      <c r="B450" s="49">
        <v>29904</v>
      </c>
      <c r="C450" s="49" t="s">
        <v>516</v>
      </c>
      <c r="D450" s="49">
        <v>0</v>
      </c>
      <c r="E450" s="49">
        <v>1</v>
      </c>
      <c r="F450" s="49" t="s">
        <v>49</v>
      </c>
      <c r="G450" s="64" t="s">
        <v>383</v>
      </c>
      <c r="H450" s="28" t="s">
        <v>43</v>
      </c>
      <c r="I450" s="143" t="s">
        <v>44</v>
      </c>
      <c r="J450" s="144"/>
      <c r="K450" s="50">
        <v>1</v>
      </c>
      <c r="L450" s="50">
        <f>E450*K450</f>
        <v>1</v>
      </c>
      <c r="M450" s="51"/>
      <c r="N450" s="41">
        <v>0</v>
      </c>
      <c r="O450" s="41">
        <f t="shared" ref="O450:O454" si="461">N450*K450</f>
        <v>0</v>
      </c>
      <c r="P450" s="41">
        <v>0</v>
      </c>
      <c r="Q450" s="41">
        <f t="shared" ref="Q450:Q454" si="462">K450*P450</f>
        <v>0</v>
      </c>
      <c r="R450" s="41">
        <v>0</v>
      </c>
      <c r="S450" s="41">
        <f t="shared" si="451"/>
        <v>0</v>
      </c>
      <c r="T450" s="43">
        <v>0</v>
      </c>
      <c r="U450" s="41">
        <v>0</v>
      </c>
      <c r="V450" s="41">
        <v>0</v>
      </c>
      <c r="W450" s="41">
        <f t="shared" si="453"/>
        <v>0</v>
      </c>
      <c r="X450" s="43">
        <v>2</v>
      </c>
      <c r="Y450" s="41">
        <f t="shared" si="454"/>
        <v>2</v>
      </c>
      <c r="Z450" s="43">
        <v>0</v>
      </c>
      <c r="AA450" s="41">
        <f t="shared" si="455"/>
        <v>0</v>
      </c>
      <c r="AB450" s="43">
        <v>0</v>
      </c>
      <c r="AC450" s="41">
        <f t="shared" si="456"/>
        <v>0</v>
      </c>
      <c r="AD450" s="41">
        <v>0</v>
      </c>
      <c r="AE450" s="41">
        <f t="shared" si="457"/>
        <v>0</v>
      </c>
      <c r="AF450" s="41">
        <v>0</v>
      </c>
      <c r="AG450" s="41">
        <f t="shared" si="458"/>
        <v>0</v>
      </c>
      <c r="AH450" s="41">
        <v>0</v>
      </c>
      <c r="AI450" s="41">
        <f t="shared" si="459"/>
        <v>0</v>
      </c>
      <c r="AJ450" s="41">
        <v>0</v>
      </c>
      <c r="AK450" s="41">
        <f t="shared" si="460"/>
        <v>0</v>
      </c>
      <c r="AL450" s="33">
        <f t="shared" si="367"/>
        <v>2</v>
      </c>
    </row>
    <row r="451" spans="2:40" ht="57.75" x14ac:dyDescent="0.25">
      <c r="B451" s="49">
        <v>29905</v>
      </c>
      <c r="C451" s="49" t="s">
        <v>517</v>
      </c>
      <c r="D451" s="49">
        <v>0</v>
      </c>
      <c r="E451" s="49">
        <v>1</v>
      </c>
      <c r="F451" s="49" t="s">
        <v>49</v>
      </c>
      <c r="G451" s="64" t="s">
        <v>383</v>
      </c>
      <c r="H451" s="28" t="s">
        <v>43</v>
      </c>
      <c r="I451" s="143" t="s">
        <v>44</v>
      </c>
      <c r="J451" s="144"/>
      <c r="K451" s="50">
        <v>1</v>
      </c>
      <c r="L451" s="50">
        <f t="shared" ref="L451:L453" si="463">E451*K451</f>
        <v>1</v>
      </c>
      <c r="M451" s="51"/>
      <c r="N451" s="41">
        <v>0</v>
      </c>
      <c r="O451" s="41">
        <f t="shared" ref="O451:O453" si="464">N451*K451</f>
        <v>0</v>
      </c>
      <c r="P451" s="41">
        <v>0</v>
      </c>
      <c r="Q451" s="41">
        <f t="shared" ref="Q451:Q453" si="465">K451*P451</f>
        <v>0</v>
      </c>
      <c r="R451" s="41">
        <v>0</v>
      </c>
      <c r="S451" s="41">
        <f t="shared" ref="S451:S453" si="466">K451*R451</f>
        <v>0</v>
      </c>
      <c r="T451" s="43">
        <v>0</v>
      </c>
      <c r="U451" s="41">
        <v>0</v>
      </c>
      <c r="V451" s="41">
        <v>0</v>
      </c>
      <c r="W451" s="41">
        <f t="shared" ref="W451:W453" si="467">K451*V451</f>
        <v>0</v>
      </c>
      <c r="X451" s="43">
        <v>2</v>
      </c>
      <c r="Y451" s="41">
        <f t="shared" ref="Y451:Y453" si="468">K451*X451</f>
        <v>2</v>
      </c>
      <c r="Z451" s="43">
        <v>0</v>
      </c>
      <c r="AA451" s="41">
        <f t="shared" ref="AA451:AA453" si="469">K451*Z451</f>
        <v>0</v>
      </c>
      <c r="AB451" s="43">
        <v>0</v>
      </c>
      <c r="AC451" s="41">
        <f t="shared" ref="AC451:AC453" si="470">K451*AB451</f>
        <v>0</v>
      </c>
      <c r="AD451" s="41">
        <v>0</v>
      </c>
      <c r="AE451" s="41">
        <f t="shared" ref="AE451:AE453" si="471">K451*AD451</f>
        <v>0</v>
      </c>
      <c r="AF451" s="41">
        <v>0</v>
      </c>
      <c r="AG451" s="41">
        <f t="shared" ref="AG451:AG453" si="472">K451*AF451</f>
        <v>0</v>
      </c>
      <c r="AH451" s="41">
        <v>0</v>
      </c>
      <c r="AI451" s="41">
        <f t="shared" ref="AI451:AI453" si="473">K451*AH451</f>
        <v>0</v>
      </c>
      <c r="AJ451" s="41">
        <v>0</v>
      </c>
      <c r="AK451" s="41">
        <f t="shared" ref="AK451:AK453" si="474">K451*AJ451</f>
        <v>0</v>
      </c>
      <c r="AL451" s="33">
        <f t="shared" ref="AL451:AL453" si="475">O451+Q451+S451+U451+W451+Y451+AA451+AC451+AE451+AG451+AI451+AK451</f>
        <v>2</v>
      </c>
    </row>
    <row r="452" spans="2:40" ht="57.75" x14ac:dyDescent="0.25">
      <c r="B452" s="49">
        <v>29906</v>
      </c>
      <c r="C452" s="49" t="s">
        <v>518</v>
      </c>
      <c r="D452" s="49">
        <v>0</v>
      </c>
      <c r="E452" s="49">
        <v>1</v>
      </c>
      <c r="F452" s="49" t="s">
        <v>49</v>
      </c>
      <c r="G452" s="64" t="s">
        <v>383</v>
      </c>
      <c r="H452" s="28" t="s">
        <v>43</v>
      </c>
      <c r="I452" s="143" t="s">
        <v>44</v>
      </c>
      <c r="J452" s="144"/>
      <c r="K452" s="50">
        <v>1</v>
      </c>
      <c r="L452" s="50">
        <f t="shared" si="463"/>
        <v>1</v>
      </c>
      <c r="M452" s="51"/>
      <c r="N452" s="41">
        <v>0</v>
      </c>
      <c r="O452" s="41">
        <f t="shared" si="464"/>
        <v>0</v>
      </c>
      <c r="P452" s="41">
        <v>0</v>
      </c>
      <c r="Q452" s="41">
        <f t="shared" si="465"/>
        <v>0</v>
      </c>
      <c r="R452" s="41">
        <v>0</v>
      </c>
      <c r="S452" s="41">
        <f t="shared" si="466"/>
        <v>0</v>
      </c>
      <c r="T452" s="43">
        <v>0</v>
      </c>
      <c r="U452" s="41">
        <v>0</v>
      </c>
      <c r="V452" s="41">
        <v>0</v>
      </c>
      <c r="W452" s="41">
        <f t="shared" si="467"/>
        <v>0</v>
      </c>
      <c r="X452" s="43">
        <v>2</v>
      </c>
      <c r="Y452" s="41">
        <f t="shared" si="468"/>
        <v>2</v>
      </c>
      <c r="Z452" s="43">
        <v>0</v>
      </c>
      <c r="AA452" s="41">
        <f t="shared" si="469"/>
        <v>0</v>
      </c>
      <c r="AB452" s="43">
        <v>0</v>
      </c>
      <c r="AC452" s="41">
        <f t="shared" si="470"/>
        <v>0</v>
      </c>
      <c r="AD452" s="41">
        <v>0</v>
      </c>
      <c r="AE452" s="41">
        <f t="shared" si="471"/>
        <v>0</v>
      </c>
      <c r="AF452" s="41">
        <v>0</v>
      </c>
      <c r="AG452" s="41">
        <f t="shared" si="472"/>
        <v>0</v>
      </c>
      <c r="AH452" s="41">
        <v>0</v>
      </c>
      <c r="AI452" s="41">
        <f t="shared" si="473"/>
        <v>0</v>
      </c>
      <c r="AJ452" s="41">
        <v>0</v>
      </c>
      <c r="AK452" s="41">
        <f t="shared" si="474"/>
        <v>0</v>
      </c>
      <c r="AL452" s="33">
        <f t="shared" si="475"/>
        <v>2</v>
      </c>
    </row>
    <row r="453" spans="2:40" ht="57.75" x14ac:dyDescent="0.25">
      <c r="B453" s="49">
        <v>29907</v>
      </c>
      <c r="C453" s="49" t="s">
        <v>519</v>
      </c>
      <c r="D453" s="49">
        <v>0</v>
      </c>
      <c r="E453" s="49">
        <v>1</v>
      </c>
      <c r="F453" s="49" t="s">
        <v>49</v>
      </c>
      <c r="G453" s="64" t="s">
        <v>383</v>
      </c>
      <c r="H453" s="28" t="s">
        <v>43</v>
      </c>
      <c r="I453" s="143" t="s">
        <v>44</v>
      </c>
      <c r="J453" s="144"/>
      <c r="K453" s="50">
        <v>1</v>
      </c>
      <c r="L453" s="50">
        <f t="shared" si="463"/>
        <v>1</v>
      </c>
      <c r="M453" s="51"/>
      <c r="N453" s="41">
        <v>0</v>
      </c>
      <c r="O453" s="41">
        <f t="shared" si="464"/>
        <v>0</v>
      </c>
      <c r="P453" s="41">
        <v>0</v>
      </c>
      <c r="Q453" s="41">
        <f t="shared" si="465"/>
        <v>0</v>
      </c>
      <c r="R453" s="41">
        <v>0</v>
      </c>
      <c r="S453" s="41">
        <f t="shared" si="466"/>
        <v>0</v>
      </c>
      <c r="T453" s="43">
        <v>0</v>
      </c>
      <c r="U453" s="41">
        <v>0</v>
      </c>
      <c r="V453" s="41">
        <v>0</v>
      </c>
      <c r="W453" s="41">
        <f t="shared" si="467"/>
        <v>0</v>
      </c>
      <c r="X453" s="43">
        <v>2</v>
      </c>
      <c r="Y453" s="41">
        <f t="shared" si="468"/>
        <v>2</v>
      </c>
      <c r="Z453" s="43">
        <v>0</v>
      </c>
      <c r="AA453" s="41">
        <f t="shared" si="469"/>
        <v>0</v>
      </c>
      <c r="AB453" s="43">
        <v>0</v>
      </c>
      <c r="AC453" s="41">
        <f t="shared" si="470"/>
        <v>0</v>
      </c>
      <c r="AD453" s="41">
        <v>0</v>
      </c>
      <c r="AE453" s="41">
        <f t="shared" si="471"/>
        <v>0</v>
      </c>
      <c r="AF453" s="41">
        <v>0</v>
      </c>
      <c r="AG453" s="41">
        <f t="shared" si="472"/>
        <v>0</v>
      </c>
      <c r="AH453" s="41">
        <v>0</v>
      </c>
      <c r="AI453" s="41">
        <f t="shared" si="473"/>
        <v>0</v>
      </c>
      <c r="AJ453" s="41">
        <v>0</v>
      </c>
      <c r="AK453" s="41">
        <f t="shared" si="474"/>
        <v>0</v>
      </c>
      <c r="AL453" s="33">
        <f t="shared" si="475"/>
        <v>2</v>
      </c>
    </row>
    <row r="454" spans="2:40" ht="57.75" x14ac:dyDescent="0.25">
      <c r="B454" s="14">
        <v>29908</v>
      </c>
      <c r="C454" s="14" t="s">
        <v>520</v>
      </c>
      <c r="D454" s="49">
        <v>0</v>
      </c>
      <c r="E454" s="14">
        <v>1</v>
      </c>
      <c r="F454" s="14" t="s">
        <v>49</v>
      </c>
      <c r="G454" s="27" t="s">
        <v>383</v>
      </c>
      <c r="H454" s="28" t="s">
        <v>43</v>
      </c>
      <c r="I454" s="143" t="s">
        <v>44</v>
      </c>
      <c r="J454" s="144"/>
      <c r="K454" s="17">
        <v>1</v>
      </c>
      <c r="L454" s="17">
        <f>E454*K454</f>
        <v>1</v>
      </c>
      <c r="M454" s="40"/>
      <c r="N454" s="41">
        <v>0</v>
      </c>
      <c r="O454" s="41">
        <f t="shared" si="461"/>
        <v>0</v>
      </c>
      <c r="P454" s="41">
        <v>0</v>
      </c>
      <c r="Q454" s="41">
        <f t="shared" si="462"/>
        <v>0</v>
      </c>
      <c r="R454" s="41">
        <v>0</v>
      </c>
      <c r="S454" s="41">
        <f t="shared" si="451"/>
        <v>0</v>
      </c>
      <c r="T454" s="43">
        <v>0</v>
      </c>
      <c r="U454" s="41">
        <v>0</v>
      </c>
      <c r="V454" s="41">
        <v>2</v>
      </c>
      <c r="W454" s="41">
        <f t="shared" si="453"/>
        <v>2</v>
      </c>
      <c r="X454" s="43">
        <v>0</v>
      </c>
      <c r="Y454" s="41">
        <f t="shared" si="454"/>
        <v>0</v>
      </c>
      <c r="Z454" s="43">
        <v>0</v>
      </c>
      <c r="AA454" s="41">
        <f t="shared" si="455"/>
        <v>0</v>
      </c>
      <c r="AB454" s="43">
        <v>0</v>
      </c>
      <c r="AC454" s="41">
        <f t="shared" si="456"/>
        <v>0</v>
      </c>
      <c r="AD454" s="41">
        <v>0</v>
      </c>
      <c r="AE454" s="41">
        <f t="shared" si="457"/>
        <v>0</v>
      </c>
      <c r="AF454" s="41">
        <v>0</v>
      </c>
      <c r="AG454" s="41">
        <f t="shared" si="458"/>
        <v>0</v>
      </c>
      <c r="AH454" s="41">
        <v>0</v>
      </c>
      <c r="AI454" s="41">
        <f t="shared" si="459"/>
        <v>0</v>
      </c>
      <c r="AJ454" s="41">
        <v>0</v>
      </c>
      <c r="AK454" s="41">
        <f t="shared" si="460"/>
        <v>0</v>
      </c>
      <c r="AL454" s="33">
        <f t="shared" si="367"/>
        <v>2</v>
      </c>
    </row>
    <row r="455" spans="2:40" x14ac:dyDescent="0.25">
      <c r="B455" s="19">
        <v>3000</v>
      </c>
      <c r="C455" s="19"/>
      <c r="D455" s="19"/>
      <c r="E455" s="19"/>
      <c r="F455" s="19"/>
      <c r="G455" s="58"/>
      <c r="H455" s="59"/>
      <c r="I455" s="145"/>
      <c r="J455" s="146"/>
      <c r="K455" s="20"/>
      <c r="L455" s="21">
        <f>L456+L474+L488+L514+L519+L559+L570+L550</f>
        <v>10278009.660400001</v>
      </c>
      <c r="M455" s="60" t="e">
        <f>M456+M474+M488+M514+M519+#REF!+M550+M559+M570</f>
        <v>#REF!</v>
      </c>
      <c r="N455" s="41"/>
      <c r="O455" s="41"/>
      <c r="P455" s="41"/>
      <c r="Q455" s="41"/>
      <c r="R455" s="41"/>
      <c r="S455" s="41"/>
      <c r="T455" s="43"/>
      <c r="U455" s="41"/>
      <c r="V455" s="41"/>
      <c r="W455" s="41"/>
      <c r="X455" s="43"/>
      <c r="Y455" s="41"/>
      <c r="Z455" s="43"/>
      <c r="AA455" s="41"/>
      <c r="AB455" s="43"/>
      <c r="AC455" s="41"/>
      <c r="AD455" s="41"/>
      <c r="AE455" s="41"/>
      <c r="AF455" s="41"/>
      <c r="AG455" s="41"/>
      <c r="AH455" s="41"/>
      <c r="AI455" s="41"/>
      <c r="AJ455" s="41"/>
      <c r="AK455" s="41"/>
      <c r="AL455" s="33"/>
    </row>
    <row r="456" spans="2:40" x14ac:dyDescent="0.25">
      <c r="B456" s="19">
        <v>31000</v>
      </c>
      <c r="C456" s="19"/>
      <c r="D456" s="19"/>
      <c r="E456" s="19"/>
      <c r="F456" s="19"/>
      <c r="G456" s="58"/>
      <c r="H456" s="78"/>
      <c r="I456" s="145"/>
      <c r="J456" s="146"/>
      <c r="K456" s="20"/>
      <c r="L456" s="21">
        <f>L457+L459+L461+L463+L465+L467+L469+L472</f>
        <v>1502400.0699999998</v>
      </c>
      <c r="M456" s="60">
        <f>M457+M459+M461+M467+M469+M472</f>
        <v>1256002</v>
      </c>
      <c r="N456" s="41"/>
      <c r="O456" s="41"/>
      <c r="P456" s="41"/>
      <c r="Q456" s="41"/>
      <c r="R456" s="41"/>
      <c r="S456" s="41"/>
      <c r="T456" s="43"/>
      <c r="U456" s="41"/>
      <c r="V456" s="41"/>
      <c r="W456" s="41"/>
      <c r="X456" s="43"/>
      <c r="Y456" s="41"/>
      <c r="Z456" s="43"/>
      <c r="AA456" s="41"/>
      <c r="AB456" s="43"/>
      <c r="AC456" s="41"/>
      <c r="AD456" s="41"/>
      <c r="AE456" s="41"/>
      <c r="AF456" s="41"/>
      <c r="AG456" s="41"/>
      <c r="AH456" s="41"/>
      <c r="AI456" s="41"/>
      <c r="AJ456" s="41"/>
      <c r="AK456" s="41"/>
      <c r="AL456" s="33"/>
      <c r="AN456" s="128"/>
    </row>
    <row r="457" spans="2:40" x14ac:dyDescent="0.25">
      <c r="B457" s="19">
        <v>31100</v>
      </c>
      <c r="C457" s="19"/>
      <c r="D457" s="19"/>
      <c r="E457" s="19"/>
      <c r="F457" s="19"/>
      <c r="G457" s="58"/>
      <c r="H457" s="78"/>
      <c r="I457" s="145"/>
      <c r="J457" s="146"/>
      <c r="K457" s="20"/>
      <c r="L457" s="21">
        <f>L458</f>
        <v>751859</v>
      </c>
      <c r="M457" s="60">
        <v>540000</v>
      </c>
      <c r="N457" s="41"/>
      <c r="O457" s="41"/>
      <c r="P457" s="41"/>
      <c r="Q457" s="41"/>
      <c r="R457" s="41"/>
      <c r="S457" s="41"/>
      <c r="T457" s="43"/>
      <c r="U457" s="41"/>
      <c r="V457" s="41"/>
      <c r="W457" s="41"/>
      <c r="X457" s="43"/>
      <c r="Y457" s="41"/>
      <c r="Z457" s="43"/>
      <c r="AA457" s="41"/>
      <c r="AB457" s="43"/>
      <c r="AC457" s="41"/>
      <c r="AD457" s="41"/>
      <c r="AE457" s="41"/>
      <c r="AF457" s="41"/>
      <c r="AG457" s="41"/>
      <c r="AH457" s="41"/>
      <c r="AI457" s="41"/>
      <c r="AJ457" s="41"/>
      <c r="AK457" s="41"/>
      <c r="AL457" s="33"/>
    </row>
    <row r="458" spans="2:40" ht="57.75" x14ac:dyDescent="0.25">
      <c r="B458" s="49">
        <v>31101</v>
      </c>
      <c r="C458" s="49" t="s">
        <v>384</v>
      </c>
      <c r="D458" s="49">
        <v>0</v>
      </c>
      <c r="E458" s="49">
        <v>1</v>
      </c>
      <c r="F458" s="49" t="s">
        <v>385</v>
      </c>
      <c r="G458" s="64" t="s">
        <v>89</v>
      </c>
      <c r="H458" s="28" t="s">
        <v>43</v>
      </c>
      <c r="I458" s="143" t="s">
        <v>44</v>
      </c>
      <c r="J458" s="144"/>
      <c r="K458" s="50">
        <v>751859</v>
      </c>
      <c r="L458" s="17">
        <f>E458*K458</f>
        <v>751859</v>
      </c>
      <c r="M458" s="1">
        <v>540000</v>
      </c>
      <c r="N458" s="41">
        <f t="shared" ref="N458" si="476">E458/12</f>
        <v>8.3333333333333329E-2</v>
      </c>
      <c r="O458" s="41">
        <f t="shared" ref="O458" si="477">N458*K458</f>
        <v>62654.916666666664</v>
      </c>
      <c r="P458" s="41">
        <f t="shared" ref="P458" si="478">E458/12</f>
        <v>8.3333333333333329E-2</v>
      </c>
      <c r="Q458" s="41">
        <f t="shared" ref="Q458" si="479">K458*P458</f>
        <v>62654.916666666664</v>
      </c>
      <c r="R458" s="41">
        <f t="shared" ref="R458" si="480">E458/12</f>
        <v>8.3333333333333329E-2</v>
      </c>
      <c r="S458" s="41">
        <f t="shared" ref="S458" si="481">K458*R458</f>
        <v>62654.916666666664</v>
      </c>
      <c r="T458" s="43">
        <f t="shared" ref="T458" si="482">E458/12</f>
        <v>8.3333333333333329E-2</v>
      </c>
      <c r="U458" s="41">
        <f t="shared" ref="U458" si="483">K458*T458</f>
        <v>62654.916666666664</v>
      </c>
      <c r="V458" s="41">
        <f t="shared" ref="V458" si="484">E458/12</f>
        <v>8.3333333333333329E-2</v>
      </c>
      <c r="W458" s="41">
        <f t="shared" ref="W458" si="485">K458*V458</f>
        <v>62654.916666666664</v>
      </c>
      <c r="X458" s="43">
        <f t="shared" ref="X458" si="486">E458/12</f>
        <v>8.3333333333333329E-2</v>
      </c>
      <c r="Y458" s="41">
        <f t="shared" ref="Y458" si="487">K458*X458</f>
        <v>62654.916666666664</v>
      </c>
      <c r="Z458" s="43">
        <f t="shared" ref="Z458" si="488">E458/12</f>
        <v>8.3333333333333329E-2</v>
      </c>
      <c r="AA458" s="41">
        <f t="shared" ref="AA458" si="489">K458*Z458</f>
        <v>62654.916666666664</v>
      </c>
      <c r="AB458" s="43">
        <f t="shared" ref="AB458" si="490">E458/12</f>
        <v>8.3333333333333329E-2</v>
      </c>
      <c r="AC458" s="41">
        <f t="shared" ref="AC458" si="491">K458*AB458</f>
        <v>62654.916666666664</v>
      </c>
      <c r="AD458" s="41">
        <f t="shared" ref="AD458" si="492">E458/12</f>
        <v>8.3333333333333329E-2</v>
      </c>
      <c r="AE458" s="41">
        <f t="shared" ref="AE458" si="493">K458*AD458</f>
        <v>62654.916666666664</v>
      </c>
      <c r="AF458" s="41">
        <f t="shared" ref="AF458" si="494">E458/12</f>
        <v>8.3333333333333329E-2</v>
      </c>
      <c r="AG458" s="41">
        <f t="shared" ref="AG458" si="495">K458*AF458</f>
        <v>62654.916666666664</v>
      </c>
      <c r="AH458" s="41">
        <f t="shared" ref="AH458" si="496">E458/12</f>
        <v>8.3333333333333329E-2</v>
      </c>
      <c r="AI458" s="41">
        <f t="shared" ref="AI458" si="497">K458*AH458</f>
        <v>62654.916666666664</v>
      </c>
      <c r="AJ458" s="41">
        <f t="shared" ref="AJ458" si="498">E458/12</f>
        <v>8.3333333333333329E-2</v>
      </c>
      <c r="AK458" s="41">
        <f t="shared" ref="AK458" si="499">K458*AJ458</f>
        <v>62654.916666666664</v>
      </c>
      <c r="AL458" s="33">
        <f t="shared" si="367"/>
        <v>751858.99999999988</v>
      </c>
    </row>
    <row r="459" spans="2:40" x14ac:dyDescent="0.25">
      <c r="B459" s="19">
        <v>31300</v>
      </c>
      <c r="C459" s="19"/>
      <c r="D459" s="19"/>
      <c r="E459" s="19"/>
      <c r="F459" s="19"/>
      <c r="G459" s="58"/>
      <c r="H459" s="59"/>
      <c r="I459" s="145"/>
      <c r="J459" s="146"/>
      <c r="K459" s="20"/>
      <c r="L459" s="21">
        <f>L460</f>
        <v>48671.87</v>
      </c>
      <c r="M459" s="93">
        <f>M460</f>
        <v>29000</v>
      </c>
      <c r="N459" s="41"/>
      <c r="O459" s="41"/>
      <c r="P459" s="41"/>
      <c r="Q459" s="41"/>
      <c r="R459" s="41"/>
      <c r="S459" s="41"/>
      <c r="T459" s="43"/>
      <c r="U459" s="41"/>
      <c r="V459" s="41"/>
      <c r="W459" s="41"/>
      <c r="X459" s="43"/>
      <c r="Y459" s="41"/>
      <c r="Z459" s="43"/>
      <c r="AA459" s="41"/>
      <c r="AB459" s="43"/>
      <c r="AC459" s="41"/>
      <c r="AD459" s="41"/>
      <c r="AE459" s="41"/>
      <c r="AF459" s="41"/>
      <c r="AG459" s="41"/>
      <c r="AH459" s="41"/>
      <c r="AI459" s="41"/>
      <c r="AJ459" s="41"/>
      <c r="AK459" s="41"/>
      <c r="AL459" s="33"/>
    </row>
    <row r="460" spans="2:40" ht="57.75" x14ac:dyDescent="0.25">
      <c r="B460" s="49">
        <v>31301</v>
      </c>
      <c r="C460" s="49" t="s">
        <v>386</v>
      </c>
      <c r="D460" s="49">
        <v>0</v>
      </c>
      <c r="E460" s="49">
        <v>1</v>
      </c>
      <c r="F460" s="49" t="s">
        <v>385</v>
      </c>
      <c r="G460" s="64" t="s">
        <v>89</v>
      </c>
      <c r="H460" s="28" t="s">
        <v>43</v>
      </c>
      <c r="I460" s="143" t="s">
        <v>44</v>
      </c>
      <c r="J460" s="144"/>
      <c r="K460" s="50">
        <v>48671.87</v>
      </c>
      <c r="L460" s="50">
        <f>E460*K460</f>
        <v>48671.87</v>
      </c>
      <c r="M460" s="94">
        <v>29000</v>
      </c>
      <c r="N460" s="41">
        <f t="shared" ref="N460" si="500">E460/12</f>
        <v>8.3333333333333329E-2</v>
      </c>
      <c r="O460" s="41">
        <f t="shared" ref="O460" si="501">N460*K460</f>
        <v>4055.9891666666667</v>
      </c>
      <c r="P460" s="41">
        <f t="shared" ref="P460" si="502">E460/12</f>
        <v>8.3333333333333329E-2</v>
      </c>
      <c r="Q460" s="41">
        <f t="shared" ref="Q460" si="503">K460*P460</f>
        <v>4055.9891666666667</v>
      </c>
      <c r="R460" s="41">
        <f t="shared" ref="R460" si="504">E460/12</f>
        <v>8.3333333333333329E-2</v>
      </c>
      <c r="S460" s="41">
        <f t="shared" ref="S460" si="505">K460*R460</f>
        <v>4055.9891666666667</v>
      </c>
      <c r="T460" s="43">
        <f t="shared" ref="T460" si="506">E460/12</f>
        <v>8.3333333333333329E-2</v>
      </c>
      <c r="U460" s="41">
        <f t="shared" ref="U460" si="507">K460*T460</f>
        <v>4055.9891666666667</v>
      </c>
      <c r="V460" s="41">
        <f t="shared" ref="V460" si="508">E460/12</f>
        <v>8.3333333333333329E-2</v>
      </c>
      <c r="W460" s="41">
        <f t="shared" ref="W460" si="509">K460*V460</f>
        <v>4055.9891666666667</v>
      </c>
      <c r="X460" s="43">
        <f t="shared" ref="X460" si="510">E460/12</f>
        <v>8.3333333333333329E-2</v>
      </c>
      <c r="Y460" s="41">
        <f t="shared" ref="Y460" si="511">K460*X460</f>
        <v>4055.9891666666667</v>
      </c>
      <c r="Z460" s="43">
        <f t="shared" ref="Z460" si="512">E460/12</f>
        <v>8.3333333333333329E-2</v>
      </c>
      <c r="AA460" s="41">
        <f t="shared" ref="AA460" si="513">K460*Z460</f>
        <v>4055.9891666666667</v>
      </c>
      <c r="AB460" s="43">
        <f t="shared" ref="AB460" si="514">E460/12</f>
        <v>8.3333333333333329E-2</v>
      </c>
      <c r="AC460" s="41">
        <f t="shared" ref="AC460" si="515">K460*AB460</f>
        <v>4055.9891666666667</v>
      </c>
      <c r="AD460" s="41">
        <f t="shared" ref="AD460" si="516">E460/12</f>
        <v>8.3333333333333329E-2</v>
      </c>
      <c r="AE460" s="41">
        <f t="shared" ref="AE460" si="517">K460*AD460</f>
        <v>4055.9891666666667</v>
      </c>
      <c r="AF460" s="41">
        <f t="shared" ref="AF460" si="518">E460/12</f>
        <v>8.3333333333333329E-2</v>
      </c>
      <c r="AG460" s="41">
        <f t="shared" ref="AG460" si="519">K460*AF460</f>
        <v>4055.9891666666667</v>
      </c>
      <c r="AH460" s="41">
        <f t="shared" ref="AH460" si="520">E460/12</f>
        <v>8.3333333333333329E-2</v>
      </c>
      <c r="AI460" s="41">
        <f t="shared" ref="AI460" si="521">K460*AH460</f>
        <v>4055.9891666666667</v>
      </c>
      <c r="AJ460" s="41">
        <f t="shared" ref="AJ460" si="522">E460/12</f>
        <v>8.3333333333333329E-2</v>
      </c>
      <c r="AK460" s="41">
        <f t="shared" ref="AK460" si="523">K460*AJ460</f>
        <v>4055.9891666666667</v>
      </c>
      <c r="AL460" s="33">
        <f t="shared" si="367"/>
        <v>48671.87</v>
      </c>
    </row>
    <row r="461" spans="2:40" x14ac:dyDescent="0.25">
      <c r="B461" s="19">
        <v>31400</v>
      </c>
      <c r="C461" s="19"/>
      <c r="D461" s="19"/>
      <c r="E461" s="19"/>
      <c r="F461" s="19"/>
      <c r="G461" s="58"/>
      <c r="H461" s="59"/>
      <c r="I461" s="145"/>
      <c r="J461" s="146"/>
      <c r="K461" s="20"/>
      <c r="L461" s="21">
        <f>L462</f>
        <v>397460.03</v>
      </c>
      <c r="M461" s="93">
        <f>M462</f>
        <v>260000</v>
      </c>
      <c r="N461" s="41"/>
      <c r="O461" s="41"/>
      <c r="P461" s="41"/>
      <c r="Q461" s="41"/>
      <c r="R461" s="41"/>
      <c r="S461" s="41"/>
      <c r="T461" s="43"/>
      <c r="U461" s="41"/>
      <c r="V461" s="41"/>
      <c r="W461" s="41"/>
      <c r="X461" s="43"/>
      <c r="Y461" s="41"/>
      <c r="Z461" s="43"/>
      <c r="AA461" s="41"/>
      <c r="AB461" s="43"/>
      <c r="AC461" s="41"/>
      <c r="AD461" s="41"/>
      <c r="AE461" s="41"/>
      <c r="AF461" s="41"/>
      <c r="AG461" s="41"/>
      <c r="AH461" s="41"/>
      <c r="AI461" s="41"/>
      <c r="AJ461" s="41"/>
      <c r="AK461" s="41"/>
      <c r="AL461" s="33"/>
    </row>
    <row r="462" spans="2:40" ht="57.75" x14ac:dyDescent="0.25">
      <c r="B462" s="14">
        <v>31401</v>
      </c>
      <c r="C462" s="14" t="s">
        <v>387</v>
      </c>
      <c r="D462" s="49">
        <v>0</v>
      </c>
      <c r="E462" s="14">
        <v>1</v>
      </c>
      <c r="F462" s="14" t="s">
        <v>385</v>
      </c>
      <c r="G462" s="27" t="s">
        <v>89</v>
      </c>
      <c r="H462" s="28" t="s">
        <v>43</v>
      </c>
      <c r="I462" s="143" t="s">
        <v>44</v>
      </c>
      <c r="J462" s="144"/>
      <c r="K462" s="17">
        <v>397460.03</v>
      </c>
      <c r="L462" s="17">
        <f>E462*K462</f>
        <v>397460.03</v>
      </c>
      <c r="M462" s="94">
        <v>260000</v>
      </c>
      <c r="N462" s="41">
        <f t="shared" ref="N462" si="524">E462/12</f>
        <v>8.3333333333333329E-2</v>
      </c>
      <c r="O462" s="41">
        <f t="shared" ref="O462" si="525">N462*K462</f>
        <v>33121.669166666667</v>
      </c>
      <c r="P462" s="41">
        <f t="shared" ref="P462" si="526">E462/12</f>
        <v>8.3333333333333329E-2</v>
      </c>
      <c r="Q462" s="41">
        <f t="shared" ref="Q462" si="527">K462*P462</f>
        <v>33121.669166666667</v>
      </c>
      <c r="R462" s="41">
        <f t="shared" ref="R462" si="528">E462/12</f>
        <v>8.3333333333333329E-2</v>
      </c>
      <c r="S462" s="41">
        <f t="shared" ref="S462" si="529">K462*R462</f>
        <v>33121.669166666667</v>
      </c>
      <c r="T462" s="43">
        <f t="shared" ref="T462" si="530">E462/12</f>
        <v>8.3333333333333329E-2</v>
      </c>
      <c r="U462" s="41">
        <f t="shared" ref="U462" si="531">K462*T462</f>
        <v>33121.669166666667</v>
      </c>
      <c r="V462" s="41">
        <f t="shared" ref="V462" si="532">E462/12</f>
        <v>8.3333333333333329E-2</v>
      </c>
      <c r="W462" s="41">
        <f t="shared" ref="W462" si="533">K462*V462</f>
        <v>33121.669166666667</v>
      </c>
      <c r="X462" s="43">
        <f t="shared" ref="X462" si="534">E462/12</f>
        <v>8.3333333333333329E-2</v>
      </c>
      <c r="Y462" s="41">
        <f t="shared" ref="Y462" si="535">K462*X462</f>
        <v>33121.669166666667</v>
      </c>
      <c r="Z462" s="43">
        <f t="shared" ref="Z462" si="536">E462/12</f>
        <v>8.3333333333333329E-2</v>
      </c>
      <c r="AA462" s="41">
        <f t="shared" ref="AA462" si="537">K462*Z462</f>
        <v>33121.669166666667</v>
      </c>
      <c r="AB462" s="43">
        <f t="shared" ref="AB462" si="538">E462/12</f>
        <v>8.3333333333333329E-2</v>
      </c>
      <c r="AC462" s="41">
        <f t="shared" ref="AC462" si="539">K462*AB462</f>
        <v>33121.669166666667</v>
      </c>
      <c r="AD462" s="41">
        <f t="shared" ref="AD462" si="540">E462/12</f>
        <v>8.3333333333333329E-2</v>
      </c>
      <c r="AE462" s="41">
        <f t="shared" ref="AE462" si="541">K462*AD462</f>
        <v>33121.669166666667</v>
      </c>
      <c r="AF462" s="41">
        <f t="shared" ref="AF462" si="542">E462/12</f>
        <v>8.3333333333333329E-2</v>
      </c>
      <c r="AG462" s="41">
        <f t="shared" ref="AG462" si="543">K462*AF462</f>
        <v>33121.669166666667</v>
      </c>
      <c r="AH462" s="41">
        <f t="shared" ref="AH462" si="544">E462/12</f>
        <v>8.3333333333333329E-2</v>
      </c>
      <c r="AI462" s="41">
        <f t="shared" ref="AI462" si="545">K462*AH462</f>
        <v>33121.669166666667</v>
      </c>
      <c r="AJ462" s="41">
        <f t="shared" ref="AJ462" si="546">E462/12</f>
        <v>8.3333333333333329E-2</v>
      </c>
      <c r="AK462" s="41">
        <f t="shared" ref="AK462" si="547">K462*AJ462</f>
        <v>33121.669166666667</v>
      </c>
      <c r="AL462" s="33">
        <f t="shared" si="367"/>
        <v>397460.03000000009</v>
      </c>
    </row>
    <row r="463" spans="2:40" x14ac:dyDescent="0.25">
      <c r="B463" s="19">
        <v>31500</v>
      </c>
      <c r="C463" s="19"/>
      <c r="D463" s="19"/>
      <c r="E463" s="19"/>
      <c r="F463" s="19"/>
      <c r="G463" s="58"/>
      <c r="H463" s="59"/>
      <c r="I463" s="145"/>
      <c r="J463" s="146"/>
      <c r="K463" s="20"/>
      <c r="L463" s="21">
        <f>L464</f>
        <v>500</v>
      </c>
      <c r="M463" s="93">
        <f>M464</f>
        <v>260000</v>
      </c>
      <c r="N463" s="41"/>
      <c r="O463" s="41"/>
      <c r="P463" s="41"/>
      <c r="Q463" s="41"/>
      <c r="R463" s="41"/>
      <c r="S463" s="41"/>
      <c r="T463" s="43"/>
      <c r="U463" s="41"/>
      <c r="V463" s="41"/>
      <c r="W463" s="41"/>
      <c r="X463" s="43"/>
      <c r="Y463" s="41"/>
      <c r="Z463" s="43"/>
      <c r="AA463" s="41"/>
      <c r="AB463" s="43"/>
      <c r="AC463" s="41"/>
      <c r="AD463" s="41"/>
      <c r="AE463" s="41"/>
      <c r="AF463" s="41"/>
      <c r="AG463" s="41"/>
      <c r="AH463" s="41"/>
      <c r="AI463" s="41"/>
      <c r="AJ463" s="41"/>
      <c r="AK463" s="41"/>
      <c r="AL463" s="33"/>
    </row>
    <row r="464" spans="2:40" ht="57.75" x14ac:dyDescent="0.25">
      <c r="B464" s="49">
        <v>31501</v>
      </c>
      <c r="C464" s="49" t="s">
        <v>388</v>
      </c>
      <c r="D464" s="49">
        <v>0</v>
      </c>
      <c r="E464" s="49">
        <v>1</v>
      </c>
      <c r="F464" s="49" t="s">
        <v>385</v>
      </c>
      <c r="G464" s="64" t="s">
        <v>89</v>
      </c>
      <c r="H464" s="28" t="s">
        <v>43</v>
      </c>
      <c r="I464" s="143" t="s">
        <v>44</v>
      </c>
      <c r="J464" s="144"/>
      <c r="K464" s="50">
        <v>500</v>
      </c>
      <c r="L464" s="50">
        <f>E464*K464</f>
        <v>500</v>
      </c>
      <c r="M464" s="94">
        <v>260000</v>
      </c>
      <c r="N464" s="41">
        <f t="shared" ref="N464" si="548">E464/12</f>
        <v>8.3333333333333329E-2</v>
      </c>
      <c r="O464" s="41">
        <f t="shared" ref="O464" si="549">N464*K464</f>
        <v>41.666666666666664</v>
      </c>
      <c r="P464" s="41">
        <f t="shared" ref="P464" si="550">E464/12</f>
        <v>8.3333333333333329E-2</v>
      </c>
      <c r="Q464" s="41">
        <f t="shared" ref="Q464" si="551">K464*P464</f>
        <v>41.666666666666664</v>
      </c>
      <c r="R464" s="41">
        <f t="shared" ref="R464" si="552">E464/12</f>
        <v>8.3333333333333329E-2</v>
      </c>
      <c r="S464" s="41">
        <f t="shared" ref="S464" si="553">K464*R464</f>
        <v>41.666666666666664</v>
      </c>
      <c r="T464" s="43">
        <f t="shared" ref="T464" si="554">E464/12</f>
        <v>8.3333333333333329E-2</v>
      </c>
      <c r="U464" s="41">
        <f t="shared" ref="U464" si="555">K464*T464</f>
        <v>41.666666666666664</v>
      </c>
      <c r="V464" s="41">
        <f t="shared" ref="V464" si="556">E464/12</f>
        <v>8.3333333333333329E-2</v>
      </c>
      <c r="W464" s="41">
        <f t="shared" ref="W464" si="557">K464*V464</f>
        <v>41.666666666666664</v>
      </c>
      <c r="X464" s="43">
        <f t="shared" ref="X464" si="558">E464/12</f>
        <v>8.3333333333333329E-2</v>
      </c>
      <c r="Y464" s="41">
        <f t="shared" ref="Y464" si="559">K464*X464</f>
        <v>41.666666666666664</v>
      </c>
      <c r="Z464" s="43">
        <f t="shared" ref="Z464" si="560">E464/12</f>
        <v>8.3333333333333329E-2</v>
      </c>
      <c r="AA464" s="41">
        <f t="shared" ref="AA464" si="561">K464*Z464</f>
        <v>41.666666666666664</v>
      </c>
      <c r="AB464" s="43">
        <f t="shared" ref="AB464" si="562">E464/12</f>
        <v>8.3333333333333329E-2</v>
      </c>
      <c r="AC464" s="41">
        <f t="shared" ref="AC464" si="563">K464*AB464</f>
        <v>41.666666666666664</v>
      </c>
      <c r="AD464" s="41">
        <f t="shared" ref="AD464" si="564">E464/12</f>
        <v>8.3333333333333329E-2</v>
      </c>
      <c r="AE464" s="41">
        <f t="shared" ref="AE464" si="565">K464*AD464</f>
        <v>41.666666666666664</v>
      </c>
      <c r="AF464" s="41">
        <f t="shared" ref="AF464" si="566">E464/12</f>
        <v>8.3333333333333329E-2</v>
      </c>
      <c r="AG464" s="41">
        <f t="shared" ref="AG464" si="567">K464*AF464</f>
        <v>41.666666666666664</v>
      </c>
      <c r="AH464" s="41">
        <f t="shared" ref="AH464" si="568">E464/12</f>
        <v>8.3333333333333329E-2</v>
      </c>
      <c r="AI464" s="41">
        <f t="shared" ref="AI464" si="569">K464*AH464</f>
        <v>41.666666666666664</v>
      </c>
      <c r="AJ464" s="41">
        <f t="shared" ref="AJ464" si="570">E464/12</f>
        <v>8.3333333333333329E-2</v>
      </c>
      <c r="AK464" s="41">
        <f t="shared" ref="AK464" si="571">K464*AJ464</f>
        <v>41.666666666666664</v>
      </c>
      <c r="AL464" s="33">
        <f t="shared" ref="AL464" si="572">O464+Q464+S464+U464+W464+Y464+AA464+AC464+AE464+AG464+AI464+AK464</f>
        <v>500.00000000000006</v>
      </c>
    </row>
    <row r="465" spans="2:38" x14ac:dyDescent="0.25">
      <c r="B465" s="19">
        <v>31600</v>
      </c>
      <c r="C465" s="19"/>
      <c r="D465" s="19"/>
      <c r="E465" s="19"/>
      <c r="F465" s="19"/>
      <c r="G465" s="58"/>
      <c r="H465" s="59"/>
      <c r="I465" s="145"/>
      <c r="J465" s="146"/>
      <c r="K465" s="20"/>
      <c r="L465" s="21">
        <f>L466</f>
        <v>1</v>
      </c>
      <c r="M465" s="93">
        <f>M466</f>
        <v>260000</v>
      </c>
      <c r="N465" s="41"/>
      <c r="O465" s="41"/>
      <c r="P465" s="41"/>
      <c r="Q465" s="41"/>
      <c r="R465" s="41"/>
      <c r="S465" s="41"/>
      <c r="T465" s="43"/>
      <c r="U465" s="41"/>
      <c r="V465" s="41"/>
      <c r="W465" s="41"/>
      <c r="X465" s="43"/>
      <c r="Y465" s="41"/>
      <c r="Z465" s="43"/>
      <c r="AA465" s="41"/>
      <c r="AB465" s="43"/>
      <c r="AC465" s="41"/>
      <c r="AD465" s="41"/>
      <c r="AE465" s="41"/>
      <c r="AF465" s="41"/>
      <c r="AG465" s="41"/>
      <c r="AH465" s="41"/>
      <c r="AI465" s="41"/>
      <c r="AJ465" s="41"/>
      <c r="AK465" s="41"/>
      <c r="AL465" s="33"/>
    </row>
    <row r="466" spans="2:38" ht="57.75" x14ac:dyDescent="0.25">
      <c r="B466" s="49">
        <v>31602</v>
      </c>
      <c r="C466" s="49" t="s">
        <v>521</v>
      </c>
      <c r="D466" s="49">
        <v>0</v>
      </c>
      <c r="E466" s="49">
        <v>1</v>
      </c>
      <c r="F466" s="49" t="s">
        <v>385</v>
      </c>
      <c r="G466" s="64" t="s">
        <v>89</v>
      </c>
      <c r="H466" s="28" t="s">
        <v>43</v>
      </c>
      <c r="I466" s="143" t="s">
        <v>44</v>
      </c>
      <c r="J466" s="144"/>
      <c r="K466" s="50">
        <v>1</v>
      </c>
      <c r="L466" s="50">
        <f>E466*K466</f>
        <v>1</v>
      </c>
      <c r="M466" s="94">
        <v>260000</v>
      </c>
      <c r="N466" s="41">
        <f t="shared" ref="N466" si="573">E466/12</f>
        <v>8.3333333333333329E-2</v>
      </c>
      <c r="O466" s="41">
        <f t="shared" ref="O466" si="574">N466*K466</f>
        <v>8.3333333333333329E-2</v>
      </c>
      <c r="P466" s="41">
        <f t="shared" ref="P466" si="575">E466/12</f>
        <v>8.3333333333333329E-2</v>
      </c>
      <c r="Q466" s="41">
        <f t="shared" ref="Q466" si="576">K466*P466</f>
        <v>8.3333333333333329E-2</v>
      </c>
      <c r="R466" s="41">
        <f t="shared" ref="R466" si="577">E466/12</f>
        <v>8.3333333333333329E-2</v>
      </c>
      <c r="S466" s="41">
        <f t="shared" ref="S466" si="578">K466*R466</f>
        <v>8.3333333333333329E-2</v>
      </c>
      <c r="T466" s="43">
        <f t="shared" ref="T466" si="579">E466/12</f>
        <v>8.3333333333333329E-2</v>
      </c>
      <c r="U466" s="41">
        <f t="shared" ref="U466" si="580">K466*T466</f>
        <v>8.3333333333333329E-2</v>
      </c>
      <c r="V466" s="41">
        <f t="shared" ref="V466" si="581">E466/12</f>
        <v>8.3333333333333329E-2</v>
      </c>
      <c r="W466" s="41">
        <f t="shared" ref="W466" si="582">K466*V466</f>
        <v>8.3333333333333329E-2</v>
      </c>
      <c r="X466" s="43">
        <f t="shared" ref="X466" si="583">E466/12</f>
        <v>8.3333333333333329E-2</v>
      </c>
      <c r="Y466" s="41">
        <f t="shared" ref="Y466" si="584">K466*X466</f>
        <v>8.3333333333333329E-2</v>
      </c>
      <c r="Z466" s="43">
        <f t="shared" ref="Z466" si="585">E466/12</f>
        <v>8.3333333333333329E-2</v>
      </c>
      <c r="AA466" s="41">
        <f t="shared" ref="AA466" si="586">K466*Z466</f>
        <v>8.3333333333333329E-2</v>
      </c>
      <c r="AB466" s="43">
        <f t="shared" ref="AB466" si="587">E466/12</f>
        <v>8.3333333333333329E-2</v>
      </c>
      <c r="AC466" s="41">
        <f t="shared" ref="AC466" si="588">K466*AB466</f>
        <v>8.3333333333333329E-2</v>
      </c>
      <c r="AD466" s="41">
        <f t="shared" ref="AD466" si="589">E466/12</f>
        <v>8.3333333333333329E-2</v>
      </c>
      <c r="AE466" s="41">
        <f t="shared" ref="AE466" si="590">K466*AD466</f>
        <v>8.3333333333333329E-2</v>
      </c>
      <c r="AF466" s="41">
        <f t="shared" ref="AF466" si="591">E466/12</f>
        <v>8.3333333333333329E-2</v>
      </c>
      <c r="AG466" s="41">
        <f t="shared" ref="AG466" si="592">K466*AF466</f>
        <v>8.3333333333333329E-2</v>
      </c>
      <c r="AH466" s="41">
        <f t="shared" ref="AH466" si="593">E466/12</f>
        <v>8.3333333333333329E-2</v>
      </c>
      <c r="AI466" s="41">
        <f t="shared" ref="AI466" si="594">K466*AH466</f>
        <v>8.3333333333333329E-2</v>
      </c>
      <c r="AJ466" s="41">
        <f t="shared" ref="AJ466" si="595">E466/12</f>
        <v>8.3333333333333329E-2</v>
      </c>
      <c r="AK466" s="41">
        <f t="shared" ref="AK466" si="596">K466*AJ466</f>
        <v>8.3333333333333329E-2</v>
      </c>
      <c r="AL466" s="33">
        <f t="shared" ref="AL466" si="597">O466+Q466+S466+U466+W466+Y466+AA466+AC466+AE466+AG466+AI466+AK466</f>
        <v>1</v>
      </c>
    </row>
    <row r="467" spans="2:38" x14ac:dyDescent="0.25">
      <c r="B467" s="19">
        <v>31700</v>
      </c>
      <c r="C467" s="19"/>
      <c r="D467" s="19"/>
      <c r="E467" s="19"/>
      <c r="F467" s="19"/>
      <c r="G467" s="58"/>
      <c r="H467" s="59"/>
      <c r="I467" s="145"/>
      <c r="J467" s="146"/>
      <c r="K467" s="20"/>
      <c r="L467" s="21">
        <f>L468</f>
        <v>260575</v>
      </c>
      <c r="M467" s="93">
        <f>M468</f>
        <v>280000</v>
      </c>
      <c r="N467" s="41"/>
      <c r="O467" s="41"/>
      <c r="P467" s="41"/>
      <c r="Q467" s="41"/>
      <c r="R467" s="41"/>
      <c r="S467" s="41"/>
      <c r="T467" s="43"/>
      <c r="U467" s="41"/>
      <c r="V467" s="41"/>
      <c r="W467" s="41"/>
      <c r="X467" s="43"/>
      <c r="Y467" s="41"/>
      <c r="Z467" s="43"/>
      <c r="AA467" s="41"/>
      <c r="AB467" s="43"/>
      <c r="AC467" s="41"/>
      <c r="AD467" s="41"/>
      <c r="AE467" s="41"/>
      <c r="AF467" s="41"/>
      <c r="AG467" s="41"/>
      <c r="AH467" s="41"/>
      <c r="AI467" s="41"/>
      <c r="AJ467" s="41"/>
      <c r="AK467" s="41"/>
      <c r="AL467" s="33"/>
    </row>
    <row r="468" spans="2:38" ht="57.75" x14ac:dyDescent="0.25">
      <c r="B468" s="49">
        <v>31701</v>
      </c>
      <c r="C468" s="26" t="s">
        <v>389</v>
      </c>
      <c r="D468" s="26">
        <v>0</v>
      </c>
      <c r="E468" s="26">
        <v>1</v>
      </c>
      <c r="F468" s="49" t="s">
        <v>385</v>
      </c>
      <c r="G468" s="64" t="s">
        <v>89</v>
      </c>
      <c r="H468" s="28" t="s">
        <v>43</v>
      </c>
      <c r="I468" s="143" t="s">
        <v>44</v>
      </c>
      <c r="J468" s="144"/>
      <c r="K468" s="50">
        <v>260575</v>
      </c>
      <c r="L468" s="50">
        <f>E468*K468</f>
        <v>260575</v>
      </c>
      <c r="M468" s="94">
        <v>280000</v>
      </c>
      <c r="N468" s="41">
        <f t="shared" ref="N468" si="598">E468/12</f>
        <v>8.3333333333333329E-2</v>
      </c>
      <c r="O468" s="41">
        <f t="shared" ref="O468" si="599">N468*K468</f>
        <v>21714.583333333332</v>
      </c>
      <c r="P468" s="41">
        <f t="shared" ref="P468" si="600">E468/12</f>
        <v>8.3333333333333329E-2</v>
      </c>
      <c r="Q468" s="41">
        <f t="shared" ref="Q468" si="601">K468*P468</f>
        <v>21714.583333333332</v>
      </c>
      <c r="R468" s="41">
        <f t="shared" ref="R468" si="602">E468/12</f>
        <v>8.3333333333333329E-2</v>
      </c>
      <c r="S468" s="41">
        <f t="shared" ref="S468" si="603">K468*R468</f>
        <v>21714.583333333332</v>
      </c>
      <c r="T468" s="43">
        <f t="shared" ref="T468" si="604">E468/12</f>
        <v>8.3333333333333329E-2</v>
      </c>
      <c r="U468" s="41">
        <f t="shared" ref="U468" si="605">K468*T468</f>
        <v>21714.583333333332</v>
      </c>
      <c r="V468" s="41">
        <f t="shared" ref="V468" si="606">E468/12</f>
        <v>8.3333333333333329E-2</v>
      </c>
      <c r="W468" s="41">
        <f t="shared" ref="W468" si="607">K468*V468</f>
        <v>21714.583333333332</v>
      </c>
      <c r="X468" s="43">
        <f t="shared" ref="X468" si="608">E468/12</f>
        <v>8.3333333333333329E-2</v>
      </c>
      <c r="Y468" s="41">
        <f t="shared" ref="Y468" si="609">K468*X468</f>
        <v>21714.583333333332</v>
      </c>
      <c r="Z468" s="43">
        <f t="shared" ref="Z468" si="610">E468/12</f>
        <v>8.3333333333333329E-2</v>
      </c>
      <c r="AA468" s="41">
        <f t="shared" ref="AA468" si="611">K468*Z468</f>
        <v>21714.583333333332</v>
      </c>
      <c r="AB468" s="43">
        <f t="shared" ref="AB468" si="612">E468/12</f>
        <v>8.3333333333333329E-2</v>
      </c>
      <c r="AC468" s="41">
        <f t="shared" ref="AC468" si="613">K468*AB468</f>
        <v>21714.583333333332</v>
      </c>
      <c r="AD468" s="41">
        <f t="shared" ref="AD468" si="614">E468/12</f>
        <v>8.3333333333333329E-2</v>
      </c>
      <c r="AE468" s="41">
        <f t="shared" ref="AE468" si="615">K468*AD468</f>
        <v>21714.583333333332</v>
      </c>
      <c r="AF468" s="41">
        <f t="shared" ref="AF468" si="616">E468/12</f>
        <v>8.3333333333333329E-2</v>
      </c>
      <c r="AG468" s="41">
        <f t="shared" ref="AG468" si="617">K468*AF468</f>
        <v>21714.583333333332</v>
      </c>
      <c r="AH468" s="41">
        <f t="shared" ref="AH468" si="618">E468/12</f>
        <v>8.3333333333333329E-2</v>
      </c>
      <c r="AI468" s="41">
        <f t="shared" ref="AI468" si="619">K468*AH468</f>
        <v>21714.583333333332</v>
      </c>
      <c r="AJ468" s="41">
        <f t="shared" ref="AJ468" si="620">E468/12</f>
        <v>8.3333333333333329E-2</v>
      </c>
      <c r="AK468" s="41">
        <f t="shared" ref="AK468" si="621">K468*AJ468</f>
        <v>21714.583333333332</v>
      </c>
      <c r="AL468" s="33">
        <f t="shared" si="367"/>
        <v>260575.00000000003</v>
      </c>
    </row>
    <row r="469" spans="2:38" x14ac:dyDescent="0.25">
      <c r="B469" s="19">
        <v>31800</v>
      </c>
      <c r="C469" s="19"/>
      <c r="D469" s="19"/>
      <c r="E469" s="19"/>
      <c r="F469" s="19"/>
      <c r="G469" s="58"/>
      <c r="H469" s="59"/>
      <c r="I469" s="145"/>
      <c r="J469" s="146"/>
      <c r="K469" s="20"/>
      <c r="L469" s="21">
        <f>+L470+L471</f>
        <v>20365.169999999998</v>
      </c>
      <c r="M469" s="93">
        <f>M470</f>
        <v>15002</v>
      </c>
      <c r="N469" s="41"/>
      <c r="O469" s="41"/>
      <c r="P469" s="41"/>
      <c r="Q469" s="41"/>
      <c r="R469" s="41"/>
      <c r="S469" s="41"/>
      <c r="T469" s="43"/>
      <c r="U469" s="41"/>
      <c r="V469" s="41"/>
      <c r="W469" s="41"/>
      <c r="X469" s="43"/>
      <c r="Y469" s="41"/>
      <c r="Z469" s="43"/>
      <c r="AA469" s="41"/>
      <c r="AB469" s="43"/>
      <c r="AC469" s="41"/>
      <c r="AD469" s="41"/>
      <c r="AE469" s="41"/>
      <c r="AF469" s="41"/>
      <c r="AG469" s="41"/>
      <c r="AH469" s="41"/>
      <c r="AI469" s="41"/>
      <c r="AJ469" s="41"/>
      <c r="AK469" s="41"/>
      <c r="AL469" s="33"/>
    </row>
    <row r="470" spans="2:38" ht="57.75" x14ac:dyDescent="0.25">
      <c r="B470" s="49">
        <v>31801</v>
      </c>
      <c r="C470" s="49" t="s">
        <v>390</v>
      </c>
      <c r="D470" s="49">
        <v>0</v>
      </c>
      <c r="E470" s="49">
        <v>1</v>
      </c>
      <c r="F470" s="49" t="s">
        <v>391</v>
      </c>
      <c r="G470" s="64" t="s">
        <v>89</v>
      </c>
      <c r="H470" s="28" t="s">
        <v>43</v>
      </c>
      <c r="I470" s="143" t="s">
        <v>44</v>
      </c>
      <c r="J470" s="144"/>
      <c r="K470" s="50">
        <v>20364.169999999998</v>
      </c>
      <c r="L470" s="50">
        <f>E470*K470</f>
        <v>20364.169999999998</v>
      </c>
      <c r="M470" s="94">
        <v>15002</v>
      </c>
      <c r="N470" s="41">
        <f t="shared" ref="N470" si="622">E470/12</f>
        <v>8.3333333333333329E-2</v>
      </c>
      <c r="O470" s="41">
        <f t="shared" ref="O470" si="623">N470*K470</f>
        <v>1697.0141666666664</v>
      </c>
      <c r="P470" s="41">
        <f t="shared" ref="P470" si="624">E470/12</f>
        <v>8.3333333333333329E-2</v>
      </c>
      <c r="Q470" s="41">
        <f t="shared" ref="Q470" si="625">K470*P470</f>
        <v>1697.0141666666664</v>
      </c>
      <c r="R470" s="41">
        <f t="shared" ref="R470" si="626">E470/12</f>
        <v>8.3333333333333329E-2</v>
      </c>
      <c r="S470" s="41">
        <f t="shared" ref="S470" si="627">K470*R470</f>
        <v>1697.0141666666664</v>
      </c>
      <c r="T470" s="43">
        <f t="shared" ref="T470" si="628">E470/12</f>
        <v>8.3333333333333329E-2</v>
      </c>
      <c r="U470" s="41">
        <f t="shared" ref="U470" si="629">K470*T470</f>
        <v>1697.0141666666664</v>
      </c>
      <c r="V470" s="41">
        <f t="shared" ref="V470" si="630">E470/12</f>
        <v>8.3333333333333329E-2</v>
      </c>
      <c r="W470" s="41">
        <f t="shared" ref="W470" si="631">K470*V470</f>
        <v>1697.0141666666664</v>
      </c>
      <c r="X470" s="43">
        <f t="shared" ref="X470" si="632">E470/12</f>
        <v>8.3333333333333329E-2</v>
      </c>
      <c r="Y470" s="41">
        <f t="shared" ref="Y470" si="633">K470*X470</f>
        <v>1697.0141666666664</v>
      </c>
      <c r="Z470" s="43">
        <f t="shared" ref="Z470" si="634">E470/12</f>
        <v>8.3333333333333329E-2</v>
      </c>
      <c r="AA470" s="41">
        <f t="shared" ref="AA470" si="635">K470*Z470</f>
        <v>1697.0141666666664</v>
      </c>
      <c r="AB470" s="43">
        <f t="shared" ref="AB470" si="636">E470/12</f>
        <v>8.3333333333333329E-2</v>
      </c>
      <c r="AC470" s="41">
        <f t="shared" ref="AC470" si="637">K470*AB470</f>
        <v>1697.0141666666664</v>
      </c>
      <c r="AD470" s="41">
        <f t="shared" ref="AD470" si="638">E470/12</f>
        <v>8.3333333333333329E-2</v>
      </c>
      <c r="AE470" s="41">
        <f t="shared" ref="AE470" si="639">K470*AD470</f>
        <v>1697.0141666666664</v>
      </c>
      <c r="AF470" s="41">
        <f t="shared" ref="AF470" si="640">E470/12</f>
        <v>8.3333333333333329E-2</v>
      </c>
      <c r="AG470" s="41">
        <f t="shared" ref="AG470" si="641">K470*AF470</f>
        <v>1697.0141666666664</v>
      </c>
      <c r="AH470" s="41">
        <f t="shared" ref="AH470" si="642">E470/12</f>
        <v>8.3333333333333329E-2</v>
      </c>
      <c r="AI470" s="41">
        <f t="shared" ref="AI470" si="643">K470*AH470</f>
        <v>1697.0141666666664</v>
      </c>
      <c r="AJ470" s="41">
        <f t="shared" ref="AJ470" si="644">E470/12</f>
        <v>8.3333333333333329E-2</v>
      </c>
      <c r="AK470" s="41">
        <f t="shared" ref="AK470" si="645">K470*AJ470</f>
        <v>1697.0141666666664</v>
      </c>
      <c r="AL470" s="33">
        <f t="shared" si="367"/>
        <v>20364.169999999998</v>
      </c>
    </row>
    <row r="471" spans="2:38" ht="57.75" x14ac:dyDescent="0.25">
      <c r="B471" s="49">
        <v>31802</v>
      </c>
      <c r="C471" s="49" t="s">
        <v>522</v>
      </c>
      <c r="D471" s="49">
        <v>0</v>
      </c>
      <c r="E471" s="49">
        <v>1</v>
      </c>
      <c r="F471" s="49" t="s">
        <v>391</v>
      </c>
      <c r="G471" s="64" t="s">
        <v>89</v>
      </c>
      <c r="H471" s="28" t="s">
        <v>43</v>
      </c>
      <c r="I471" s="143" t="s">
        <v>44</v>
      </c>
      <c r="J471" s="144"/>
      <c r="K471" s="50">
        <v>1</v>
      </c>
      <c r="L471" s="50">
        <f>E471*K471</f>
        <v>1</v>
      </c>
      <c r="M471" s="94">
        <v>15002</v>
      </c>
      <c r="N471" s="41">
        <f t="shared" ref="N471" si="646">E471/12</f>
        <v>8.3333333333333329E-2</v>
      </c>
      <c r="O471" s="41">
        <f t="shared" ref="O471" si="647">N471*K471</f>
        <v>8.3333333333333329E-2</v>
      </c>
      <c r="P471" s="41">
        <f t="shared" ref="P471" si="648">E471/12</f>
        <v>8.3333333333333329E-2</v>
      </c>
      <c r="Q471" s="41">
        <f t="shared" ref="Q471" si="649">K471*P471</f>
        <v>8.3333333333333329E-2</v>
      </c>
      <c r="R471" s="41">
        <f t="shared" ref="R471" si="650">E471/12</f>
        <v>8.3333333333333329E-2</v>
      </c>
      <c r="S471" s="41">
        <f t="shared" ref="S471" si="651">K471*R471</f>
        <v>8.3333333333333329E-2</v>
      </c>
      <c r="T471" s="43">
        <f t="shared" ref="T471" si="652">E471/12</f>
        <v>8.3333333333333329E-2</v>
      </c>
      <c r="U471" s="41">
        <f t="shared" ref="U471" si="653">K471*T471</f>
        <v>8.3333333333333329E-2</v>
      </c>
      <c r="V471" s="41">
        <f t="shared" ref="V471" si="654">E471/12</f>
        <v>8.3333333333333329E-2</v>
      </c>
      <c r="W471" s="41">
        <f t="shared" ref="W471" si="655">K471*V471</f>
        <v>8.3333333333333329E-2</v>
      </c>
      <c r="X471" s="43">
        <f t="shared" ref="X471" si="656">E471/12</f>
        <v>8.3333333333333329E-2</v>
      </c>
      <c r="Y471" s="41">
        <f t="shared" ref="Y471" si="657">K471*X471</f>
        <v>8.3333333333333329E-2</v>
      </c>
      <c r="Z471" s="43">
        <f t="shared" ref="Z471" si="658">E471/12</f>
        <v>8.3333333333333329E-2</v>
      </c>
      <c r="AA471" s="41">
        <f t="shared" ref="AA471" si="659">K471*Z471</f>
        <v>8.3333333333333329E-2</v>
      </c>
      <c r="AB471" s="43">
        <f t="shared" ref="AB471" si="660">E471/12</f>
        <v>8.3333333333333329E-2</v>
      </c>
      <c r="AC471" s="41">
        <f t="shared" ref="AC471" si="661">K471*AB471</f>
        <v>8.3333333333333329E-2</v>
      </c>
      <c r="AD471" s="41">
        <f t="shared" ref="AD471" si="662">E471/12</f>
        <v>8.3333333333333329E-2</v>
      </c>
      <c r="AE471" s="41">
        <f t="shared" ref="AE471" si="663">K471*AD471</f>
        <v>8.3333333333333329E-2</v>
      </c>
      <c r="AF471" s="41">
        <f t="shared" ref="AF471" si="664">E471/12</f>
        <v>8.3333333333333329E-2</v>
      </c>
      <c r="AG471" s="41">
        <f t="shared" ref="AG471" si="665">K471*AF471</f>
        <v>8.3333333333333329E-2</v>
      </c>
      <c r="AH471" s="41">
        <f t="shared" ref="AH471" si="666">E471/12</f>
        <v>8.3333333333333329E-2</v>
      </c>
      <c r="AI471" s="41">
        <f t="shared" ref="AI471" si="667">K471*AH471</f>
        <v>8.3333333333333329E-2</v>
      </c>
      <c r="AJ471" s="41">
        <f t="shared" ref="AJ471" si="668">E471/12</f>
        <v>8.3333333333333329E-2</v>
      </c>
      <c r="AK471" s="41">
        <f t="shared" ref="AK471" si="669">K471*AJ471</f>
        <v>8.3333333333333329E-2</v>
      </c>
      <c r="AL471" s="33">
        <f t="shared" ref="AL471" si="670">O471+Q471+S471+U471+W471+Y471+AA471+AC471+AE471+AG471+AI471+AK471</f>
        <v>1</v>
      </c>
    </row>
    <row r="472" spans="2:38" x14ac:dyDescent="0.25">
      <c r="B472" s="19">
        <v>31900</v>
      </c>
      <c r="C472" s="19"/>
      <c r="D472" s="19"/>
      <c r="E472" s="19"/>
      <c r="F472" s="19"/>
      <c r="G472" s="58"/>
      <c r="H472" s="59"/>
      <c r="I472" s="145"/>
      <c r="J472" s="146"/>
      <c r="K472" s="20"/>
      <c r="L472" s="21">
        <f>L473</f>
        <v>22968</v>
      </c>
      <c r="M472" s="93">
        <f>M473</f>
        <v>132000</v>
      </c>
      <c r="N472" s="41"/>
      <c r="O472" s="41"/>
      <c r="P472" s="41"/>
      <c r="Q472" s="41"/>
      <c r="R472" s="41"/>
      <c r="S472" s="41"/>
      <c r="T472" s="43"/>
      <c r="U472" s="41"/>
      <c r="V472" s="41"/>
      <c r="W472" s="41"/>
      <c r="X472" s="43"/>
      <c r="Y472" s="41"/>
      <c r="Z472" s="43"/>
      <c r="AA472" s="41"/>
      <c r="AB472" s="43"/>
      <c r="AC472" s="41"/>
      <c r="AD472" s="41"/>
      <c r="AE472" s="41"/>
      <c r="AF472" s="41"/>
      <c r="AG472" s="41"/>
      <c r="AH472" s="41"/>
      <c r="AI472" s="41"/>
      <c r="AJ472" s="41"/>
      <c r="AK472" s="41"/>
      <c r="AL472" s="33"/>
    </row>
    <row r="473" spans="2:38" ht="57.75" x14ac:dyDescent="0.25">
      <c r="B473" s="49">
        <v>31902</v>
      </c>
      <c r="C473" s="49" t="s">
        <v>392</v>
      </c>
      <c r="D473" s="49">
        <v>0</v>
      </c>
      <c r="E473" s="49">
        <v>1</v>
      </c>
      <c r="F473" s="49" t="s">
        <v>385</v>
      </c>
      <c r="G473" s="64" t="s">
        <v>89</v>
      </c>
      <c r="H473" s="28" t="s">
        <v>43</v>
      </c>
      <c r="I473" s="143" t="s">
        <v>44</v>
      </c>
      <c r="J473" s="144"/>
      <c r="K473" s="50">
        <v>22968</v>
      </c>
      <c r="L473" s="50">
        <f>E473*K473</f>
        <v>22968</v>
      </c>
      <c r="M473" s="94">
        <v>132000</v>
      </c>
      <c r="N473" s="41">
        <f t="shared" ref="N473" si="671">E473/12</f>
        <v>8.3333333333333329E-2</v>
      </c>
      <c r="O473" s="41">
        <f t="shared" ref="O473" si="672">N473*K473</f>
        <v>1914</v>
      </c>
      <c r="P473" s="41">
        <f t="shared" ref="P473" si="673">E473/12</f>
        <v>8.3333333333333329E-2</v>
      </c>
      <c r="Q473" s="41">
        <f t="shared" ref="Q473" si="674">K473*P473</f>
        <v>1914</v>
      </c>
      <c r="R473" s="41">
        <f t="shared" ref="R473" si="675">E473/12</f>
        <v>8.3333333333333329E-2</v>
      </c>
      <c r="S473" s="41">
        <f t="shared" ref="S473" si="676">K473*R473</f>
        <v>1914</v>
      </c>
      <c r="T473" s="43">
        <f t="shared" ref="T473" si="677">E473/12</f>
        <v>8.3333333333333329E-2</v>
      </c>
      <c r="U473" s="41">
        <f t="shared" ref="U473" si="678">K473*T473</f>
        <v>1914</v>
      </c>
      <c r="V473" s="41">
        <f t="shared" ref="V473" si="679">E473/12</f>
        <v>8.3333333333333329E-2</v>
      </c>
      <c r="W473" s="41">
        <f t="shared" ref="W473" si="680">K473*V473</f>
        <v>1914</v>
      </c>
      <c r="X473" s="43">
        <f t="shared" ref="X473" si="681">E473/12</f>
        <v>8.3333333333333329E-2</v>
      </c>
      <c r="Y473" s="41">
        <f t="shared" ref="Y473" si="682">K473*X473</f>
        <v>1914</v>
      </c>
      <c r="Z473" s="43">
        <f t="shared" ref="Z473" si="683">E473/12</f>
        <v>8.3333333333333329E-2</v>
      </c>
      <c r="AA473" s="41">
        <f t="shared" ref="AA473" si="684">K473*Z473</f>
        <v>1914</v>
      </c>
      <c r="AB473" s="43">
        <f t="shared" ref="AB473" si="685">E473/12</f>
        <v>8.3333333333333329E-2</v>
      </c>
      <c r="AC473" s="41">
        <f t="shared" ref="AC473" si="686">K473*AB473</f>
        <v>1914</v>
      </c>
      <c r="AD473" s="41">
        <f t="shared" ref="AD473" si="687">E473/12</f>
        <v>8.3333333333333329E-2</v>
      </c>
      <c r="AE473" s="41">
        <f t="shared" ref="AE473" si="688">K473*AD473</f>
        <v>1914</v>
      </c>
      <c r="AF473" s="41">
        <f t="shared" ref="AF473" si="689">E473/12</f>
        <v>8.3333333333333329E-2</v>
      </c>
      <c r="AG473" s="41">
        <f t="shared" ref="AG473" si="690">K473*AF473</f>
        <v>1914</v>
      </c>
      <c r="AH473" s="41">
        <f t="shared" ref="AH473" si="691">E473/12</f>
        <v>8.3333333333333329E-2</v>
      </c>
      <c r="AI473" s="41">
        <f t="shared" ref="AI473" si="692">K473*AH473</f>
        <v>1914</v>
      </c>
      <c r="AJ473" s="41">
        <f t="shared" ref="AJ473" si="693">E473/12</f>
        <v>8.3333333333333329E-2</v>
      </c>
      <c r="AK473" s="41">
        <f t="shared" ref="AK473" si="694">K473*AJ473</f>
        <v>1914</v>
      </c>
      <c r="AL473" s="33">
        <f t="shared" si="367"/>
        <v>22968</v>
      </c>
    </row>
    <row r="474" spans="2:38" x14ac:dyDescent="0.25">
      <c r="B474" s="19">
        <v>32000</v>
      </c>
      <c r="C474" s="19"/>
      <c r="D474" s="19"/>
      <c r="E474" s="19"/>
      <c r="F474" s="19"/>
      <c r="G474" s="58"/>
      <c r="H474" s="59"/>
      <c r="I474" s="145"/>
      <c r="J474" s="146"/>
      <c r="K474" s="20"/>
      <c r="L474" s="21">
        <f>L475+L479+L482+L484+L486</f>
        <v>2290940.5403999998</v>
      </c>
      <c r="M474" s="60">
        <f>M475+M479+M484+M486</f>
        <v>1508002</v>
      </c>
      <c r="N474" s="41"/>
      <c r="O474" s="41"/>
      <c r="P474" s="41"/>
      <c r="Q474" s="41"/>
      <c r="R474" s="41"/>
      <c r="S474" s="41"/>
      <c r="T474" s="43"/>
      <c r="U474" s="41"/>
      <c r="V474" s="41"/>
      <c r="W474" s="41"/>
      <c r="X474" s="43"/>
      <c r="Y474" s="41"/>
      <c r="Z474" s="43"/>
      <c r="AA474" s="41"/>
      <c r="AB474" s="43"/>
      <c r="AC474" s="41"/>
      <c r="AD474" s="41"/>
      <c r="AE474" s="41"/>
      <c r="AF474" s="41"/>
      <c r="AG474" s="41"/>
      <c r="AH474" s="41"/>
      <c r="AI474" s="41"/>
      <c r="AJ474" s="41"/>
      <c r="AK474" s="41"/>
      <c r="AL474" s="33"/>
    </row>
    <row r="475" spans="2:38" x14ac:dyDescent="0.25">
      <c r="B475" s="19">
        <v>32200</v>
      </c>
      <c r="C475" s="19"/>
      <c r="D475" s="19"/>
      <c r="E475" s="19"/>
      <c r="F475" s="19"/>
      <c r="G475" s="58"/>
      <c r="H475" s="59"/>
      <c r="I475" s="145"/>
      <c r="J475" s="146"/>
      <c r="K475" s="20"/>
      <c r="L475" s="21">
        <f>SUM(L476:L478)</f>
        <v>1259932.4604</v>
      </c>
      <c r="M475" s="60">
        <v>1212000</v>
      </c>
      <c r="N475" s="41"/>
      <c r="O475" s="41"/>
      <c r="P475" s="41"/>
      <c r="Q475" s="41"/>
      <c r="R475" s="41"/>
      <c r="S475" s="41"/>
      <c r="T475" s="43"/>
      <c r="U475" s="41"/>
      <c r="V475" s="41"/>
      <c r="W475" s="41"/>
      <c r="X475" s="43"/>
      <c r="Y475" s="41"/>
      <c r="Z475" s="43"/>
      <c r="AA475" s="41"/>
      <c r="AB475" s="43"/>
      <c r="AC475" s="41"/>
      <c r="AD475" s="41"/>
      <c r="AE475" s="41"/>
      <c r="AF475" s="41"/>
      <c r="AG475" s="41"/>
      <c r="AH475" s="41"/>
      <c r="AI475" s="41"/>
      <c r="AJ475" s="41"/>
      <c r="AK475" s="41"/>
      <c r="AL475" s="33"/>
    </row>
    <row r="476" spans="2:38" ht="57.75" x14ac:dyDescent="0.25">
      <c r="B476" s="14">
        <v>32201</v>
      </c>
      <c r="C476" s="14" t="s">
        <v>393</v>
      </c>
      <c r="D476" s="49">
        <v>0</v>
      </c>
      <c r="E476" s="14">
        <v>1</v>
      </c>
      <c r="F476" s="14" t="s">
        <v>385</v>
      </c>
      <c r="G476" s="27" t="s">
        <v>394</v>
      </c>
      <c r="H476" s="28" t="s">
        <v>43</v>
      </c>
      <c r="I476" s="143" t="s">
        <v>44</v>
      </c>
      <c r="J476" s="144"/>
      <c r="K476" s="17">
        <v>460559.46</v>
      </c>
      <c r="L476" s="17">
        <f>E476*K476</f>
        <v>460559.46</v>
      </c>
      <c r="N476" s="41">
        <f t="shared" ref="N476:N478" si="695">E476/12</f>
        <v>8.3333333333333329E-2</v>
      </c>
      <c r="O476" s="41">
        <f t="shared" ref="O476:O478" si="696">N476*K476</f>
        <v>38379.955000000002</v>
      </c>
      <c r="P476" s="41">
        <f t="shared" ref="P476:P478" si="697">E476/12</f>
        <v>8.3333333333333329E-2</v>
      </c>
      <c r="Q476" s="41">
        <f t="shared" ref="Q476:Q478" si="698">K476*P476</f>
        <v>38379.955000000002</v>
      </c>
      <c r="R476" s="41">
        <f t="shared" ref="R476:R478" si="699">E476/12</f>
        <v>8.3333333333333329E-2</v>
      </c>
      <c r="S476" s="41">
        <f t="shared" ref="S476:S478" si="700">K476*R476</f>
        <v>38379.955000000002</v>
      </c>
      <c r="T476" s="43">
        <f t="shared" ref="T476:T478" si="701">E476/12</f>
        <v>8.3333333333333329E-2</v>
      </c>
      <c r="U476" s="41">
        <f t="shared" ref="U476:U478" si="702">K476*T476</f>
        <v>38379.955000000002</v>
      </c>
      <c r="V476" s="41">
        <f t="shared" ref="V476:V478" si="703">E476/12</f>
        <v>8.3333333333333329E-2</v>
      </c>
      <c r="W476" s="41">
        <f t="shared" ref="W476:W478" si="704">K476*V476</f>
        <v>38379.955000000002</v>
      </c>
      <c r="X476" s="43">
        <f t="shared" ref="X476:X478" si="705">E476/12</f>
        <v>8.3333333333333329E-2</v>
      </c>
      <c r="Y476" s="41">
        <f t="shared" ref="Y476:Y478" si="706">K476*X476</f>
        <v>38379.955000000002</v>
      </c>
      <c r="Z476" s="43">
        <f t="shared" ref="Z476:Z478" si="707">E476/12</f>
        <v>8.3333333333333329E-2</v>
      </c>
      <c r="AA476" s="41">
        <f t="shared" ref="AA476:AA478" si="708">K476*Z476</f>
        <v>38379.955000000002</v>
      </c>
      <c r="AB476" s="43">
        <f t="shared" ref="AB476:AB478" si="709">E476/12</f>
        <v>8.3333333333333329E-2</v>
      </c>
      <c r="AC476" s="41">
        <f t="shared" ref="AC476:AC478" si="710">K476*AB476</f>
        <v>38379.955000000002</v>
      </c>
      <c r="AD476" s="41">
        <f t="shared" ref="AD476:AD478" si="711">E476/12</f>
        <v>8.3333333333333329E-2</v>
      </c>
      <c r="AE476" s="41">
        <f t="shared" ref="AE476:AE478" si="712">K476*AD476</f>
        <v>38379.955000000002</v>
      </c>
      <c r="AF476" s="41">
        <f t="shared" ref="AF476:AF478" si="713">E476/12</f>
        <v>8.3333333333333329E-2</v>
      </c>
      <c r="AG476" s="41">
        <f t="shared" ref="AG476:AG478" si="714">K476*AF476</f>
        <v>38379.955000000002</v>
      </c>
      <c r="AH476" s="41">
        <f t="shared" ref="AH476:AH478" si="715">E476/12</f>
        <v>8.3333333333333329E-2</v>
      </c>
      <c r="AI476" s="41">
        <f t="shared" ref="AI476:AI478" si="716">K476*AH476</f>
        <v>38379.955000000002</v>
      </c>
      <c r="AJ476" s="41">
        <f t="shared" ref="AJ476:AJ478" si="717">E476/12</f>
        <v>8.3333333333333329E-2</v>
      </c>
      <c r="AK476" s="41">
        <f t="shared" ref="AK476:AK478" si="718">K476*AJ476</f>
        <v>38379.955000000002</v>
      </c>
      <c r="AL476" s="33">
        <f t="shared" si="367"/>
        <v>460559.46000000014</v>
      </c>
    </row>
    <row r="477" spans="2:38" ht="57.75" x14ac:dyDescent="0.25">
      <c r="B477" s="14">
        <v>32201</v>
      </c>
      <c r="C477" s="14" t="s">
        <v>395</v>
      </c>
      <c r="D477" s="49">
        <v>0</v>
      </c>
      <c r="E477" s="14">
        <v>12</v>
      </c>
      <c r="F477" s="14" t="s">
        <v>385</v>
      </c>
      <c r="G477" s="27" t="s">
        <v>396</v>
      </c>
      <c r="H477" s="28" t="s">
        <v>43</v>
      </c>
      <c r="I477" s="143" t="s">
        <v>44</v>
      </c>
      <c r="J477" s="144"/>
      <c r="K477" s="17">
        <v>43500</v>
      </c>
      <c r="L477" s="17">
        <f>E477*K477</f>
        <v>522000</v>
      </c>
      <c r="N477" s="41">
        <f t="shared" si="695"/>
        <v>1</v>
      </c>
      <c r="O477" s="41">
        <f t="shared" si="696"/>
        <v>43500</v>
      </c>
      <c r="P477" s="41">
        <f t="shared" si="697"/>
        <v>1</v>
      </c>
      <c r="Q477" s="41">
        <f t="shared" si="698"/>
        <v>43500</v>
      </c>
      <c r="R477" s="41">
        <f t="shared" si="699"/>
        <v>1</v>
      </c>
      <c r="S477" s="41">
        <f t="shared" si="700"/>
        <v>43500</v>
      </c>
      <c r="T477" s="43">
        <f t="shared" si="701"/>
        <v>1</v>
      </c>
      <c r="U477" s="41">
        <f t="shared" si="702"/>
        <v>43500</v>
      </c>
      <c r="V477" s="41">
        <f t="shared" si="703"/>
        <v>1</v>
      </c>
      <c r="W477" s="41">
        <f t="shared" si="704"/>
        <v>43500</v>
      </c>
      <c r="X477" s="43">
        <f t="shared" si="705"/>
        <v>1</v>
      </c>
      <c r="Y477" s="41">
        <f t="shared" si="706"/>
        <v>43500</v>
      </c>
      <c r="Z477" s="43">
        <f t="shared" si="707"/>
        <v>1</v>
      </c>
      <c r="AA477" s="41">
        <f t="shared" si="708"/>
        <v>43500</v>
      </c>
      <c r="AB477" s="43">
        <f t="shared" si="709"/>
        <v>1</v>
      </c>
      <c r="AC477" s="41">
        <f t="shared" si="710"/>
        <v>43500</v>
      </c>
      <c r="AD477" s="41">
        <f t="shared" si="711"/>
        <v>1</v>
      </c>
      <c r="AE477" s="41">
        <f t="shared" si="712"/>
        <v>43500</v>
      </c>
      <c r="AF477" s="41">
        <f t="shared" si="713"/>
        <v>1</v>
      </c>
      <c r="AG477" s="41">
        <f t="shared" si="714"/>
        <v>43500</v>
      </c>
      <c r="AH477" s="41">
        <f t="shared" si="715"/>
        <v>1</v>
      </c>
      <c r="AI477" s="41">
        <f t="shared" si="716"/>
        <v>43500</v>
      </c>
      <c r="AJ477" s="41">
        <f t="shared" si="717"/>
        <v>1</v>
      </c>
      <c r="AK477" s="41">
        <f t="shared" si="718"/>
        <v>43500</v>
      </c>
      <c r="AL477" s="33">
        <f t="shared" si="367"/>
        <v>522000</v>
      </c>
    </row>
    <row r="478" spans="2:38" ht="57.75" x14ac:dyDescent="0.25">
      <c r="B478" s="14">
        <v>32201</v>
      </c>
      <c r="C478" s="14" t="s">
        <v>397</v>
      </c>
      <c r="D478" s="49">
        <v>0</v>
      </c>
      <c r="E478" s="14">
        <v>12</v>
      </c>
      <c r="F478" s="14" t="s">
        <v>385</v>
      </c>
      <c r="G478" s="27" t="s">
        <v>398</v>
      </c>
      <c r="H478" s="28" t="s">
        <v>43</v>
      </c>
      <c r="I478" s="143" t="s">
        <v>44</v>
      </c>
      <c r="J478" s="144"/>
      <c r="K478" s="17">
        <v>23114.416700000002</v>
      </c>
      <c r="L478" s="17">
        <f>E478*K478</f>
        <v>277373.00040000002</v>
      </c>
      <c r="N478" s="41">
        <f t="shared" si="695"/>
        <v>1</v>
      </c>
      <c r="O478" s="41">
        <f t="shared" si="696"/>
        <v>23114.416700000002</v>
      </c>
      <c r="P478" s="41">
        <f t="shared" si="697"/>
        <v>1</v>
      </c>
      <c r="Q478" s="41">
        <f t="shared" si="698"/>
        <v>23114.416700000002</v>
      </c>
      <c r="R478" s="41">
        <f t="shared" si="699"/>
        <v>1</v>
      </c>
      <c r="S478" s="41">
        <f t="shared" si="700"/>
        <v>23114.416700000002</v>
      </c>
      <c r="T478" s="43">
        <f t="shared" si="701"/>
        <v>1</v>
      </c>
      <c r="U478" s="41">
        <f t="shared" si="702"/>
        <v>23114.416700000002</v>
      </c>
      <c r="V478" s="41">
        <f t="shared" si="703"/>
        <v>1</v>
      </c>
      <c r="W478" s="41">
        <f t="shared" si="704"/>
        <v>23114.416700000002</v>
      </c>
      <c r="X478" s="43">
        <f t="shared" si="705"/>
        <v>1</v>
      </c>
      <c r="Y478" s="41">
        <f t="shared" si="706"/>
        <v>23114.416700000002</v>
      </c>
      <c r="Z478" s="43">
        <f t="shared" si="707"/>
        <v>1</v>
      </c>
      <c r="AA478" s="41">
        <f t="shared" si="708"/>
        <v>23114.416700000002</v>
      </c>
      <c r="AB478" s="43">
        <f t="shared" si="709"/>
        <v>1</v>
      </c>
      <c r="AC478" s="41">
        <f t="shared" si="710"/>
        <v>23114.416700000002</v>
      </c>
      <c r="AD478" s="41">
        <f t="shared" si="711"/>
        <v>1</v>
      </c>
      <c r="AE478" s="41">
        <f t="shared" si="712"/>
        <v>23114.416700000002</v>
      </c>
      <c r="AF478" s="41">
        <f t="shared" si="713"/>
        <v>1</v>
      </c>
      <c r="AG478" s="41">
        <f t="shared" si="714"/>
        <v>23114.416700000002</v>
      </c>
      <c r="AH478" s="41">
        <f t="shared" si="715"/>
        <v>1</v>
      </c>
      <c r="AI478" s="41">
        <f t="shared" si="716"/>
        <v>23114.416700000002</v>
      </c>
      <c r="AJ478" s="41">
        <f t="shared" si="717"/>
        <v>1</v>
      </c>
      <c r="AK478" s="41">
        <f t="shared" si="718"/>
        <v>23114.416700000002</v>
      </c>
      <c r="AL478" s="33">
        <f t="shared" si="367"/>
        <v>277373.00040000002</v>
      </c>
    </row>
    <row r="479" spans="2:38" x14ac:dyDescent="0.25">
      <c r="B479" s="19">
        <v>32300</v>
      </c>
      <c r="C479" s="19"/>
      <c r="D479" s="19"/>
      <c r="E479" s="19"/>
      <c r="F479" s="19"/>
      <c r="G479" s="58"/>
      <c r="H479" s="59"/>
      <c r="I479" s="95"/>
      <c r="J479" s="95"/>
      <c r="K479" s="20"/>
      <c r="L479" s="21">
        <f>+L480+L481</f>
        <v>354345</v>
      </c>
      <c r="M479" s="60">
        <v>252002</v>
      </c>
      <c r="N479" s="41"/>
      <c r="O479" s="41"/>
      <c r="P479" s="41"/>
      <c r="Q479" s="41"/>
      <c r="R479" s="41"/>
      <c r="S479" s="41"/>
      <c r="T479" s="43"/>
      <c r="U479" s="41"/>
      <c r="V479" s="41"/>
      <c r="W479" s="41"/>
      <c r="X479" s="43"/>
      <c r="Y479" s="41"/>
      <c r="Z479" s="43"/>
      <c r="AA479" s="41"/>
      <c r="AB479" s="43"/>
      <c r="AC479" s="41"/>
      <c r="AD479" s="41"/>
      <c r="AE479" s="41"/>
      <c r="AF479" s="41"/>
      <c r="AG479" s="41"/>
      <c r="AH479" s="41"/>
      <c r="AI479" s="41"/>
      <c r="AJ479" s="41"/>
      <c r="AK479" s="41"/>
      <c r="AL479" s="33"/>
    </row>
    <row r="480" spans="2:38" ht="57.75" x14ac:dyDescent="0.25">
      <c r="B480" s="49">
        <v>32301</v>
      </c>
      <c r="C480" s="49" t="s">
        <v>399</v>
      </c>
      <c r="D480" s="49">
        <v>0</v>
      </c>
      <c r="E480" s="49">
        <v>1</v>
      </c>
      <c r="F480" s="49" t="s">
        <v>385</v>
      </c>
      <c r="G480" s="64" t="s">
        <v>89</v>
      </c>
      <c r="H480" s="28" t="s">
        <v>43</v>
      </c>
      <c r="I480" s="143" t="s">
        <v>44</v>
      </c>
      <c r="J480" s="144"/>
      <c r="K480" s="50">
        <v>354344</v>
      </c>
      <c r="L480" s="50">
        <f>E480*K480</f>
        <v>354344</v>
      </c>
      <c r="N480" s="41">
        <f t="shared" ref="N480" si="719">E480/12</f>
        <v>8.3333333333333329E-2</v>
      </c>
      <c r="O480" s="41">
        <f t="shared" ref="O480" si="720">N480*K480</f>
        <v>29528.666666666664</v>
      </c>
      <c r="P480" s="41">
        <f t="shared" ref="P480" si="721">E480/12</f>
        <v>8.3333333333333329E-2</v>
      </c>
      <c r="Q480" s="41">
        <f t="shared" ref="Q480" si="722">K480*P480</f>
        <v>29528.666666666664</v>
      </c>
      <c r="R480" s="41">
        <f t="shared" ref="R480" si="723">E480/12</f>
        <v>8.3333333333333329E-2</v>
      </c>
      <c r="S480" s="41">
        <f t="shared" ref="S480" si="724">K480*R480</f>
        <v>29528.666666666664</v>
      </c>
      <c r="T480" s="43">
        <f t="shared" ref="T480" si="725">E480/12</f>
        <v>8.3333333333333329E-2</v>
      </c>
      <c r="U480" s="41">
        <f t="shared" ref="U480" si="726">K480*T480</f>
        <v>29528.666666666664</v>
      </c>
      <c r="V480" s="41">
        <f t="shared" ref="V480" si="727">E480/12</f>
        <v>8.3333333333333329E-2</v>
      </c>
      <c r="W480" s="41">
        <f t="shared" ref="W480" si="728">K480*V480</f>
        <v>29528.666666666664</v>
      </c>
      <c r="X480" s="43">
        <f t="shared" ref="X480" si="729">E480/12</f>
        <v>8.3333333333333329E-2</v>
      </c>
      <c r="Y480" s="41">
        <f t="shared" ref="Y480" si="730">K480*X480</f>
        <v>29528.666666666664</v>
      </c>
      <c r="Z480" s="43">
        <f t="shared" ref="Z480" si="731">E480/12</f>
        <v>8.3333333333333329E-2</v>
      </c>
      <c r="AA480" s="41">
        <f t="shared" ref="AA480" si="732">K480*Z480</f>
        <v>29528.666666666664</v>
      </c>
      <c r="AB480" s="43">
        <f t="shared" ref="AB480" si="733">E480/12</f>
        <v>8.3333333333333329E-2</v>
      </c>
      <c r="AC480" s="41">
        <f t="shared" ref="AC480" si="734">K480*AB480</f>
        <v>29528.666666666664</v>
      </c>
      <c r="AD480" s="41">
        <f t="shared" ref="AD480" si="735">E480/12</f>
        <v>8.3333333333333329E-2</v>
      </c>
      <c r="AE480" s="41">
        <f t="shared" ref="AE480" si="736">K480*AD480</f>
        <v>29528.666666666664</v>
      </c>
      <c r="AF480" s="41">
        <f t="shared" ref="AF480" si="737">E480/12</f>
        <v>8.3333333333333329E-2</v>
      </c>
      <c r="AG480" s="41">
        <f t="shared" ref="AG480" si="738">K480*AF480</f>
        <v>29528.666666666664</v>
      </c>
      <c r="AH480" s="41">
        <f t="shared" ref="AH480" si="739">E480/12</f>
        <v>8.3333333333333329E-2</v>
      </c>
      <c r="AI480" s="41">
        <f t="shared" ref="AI480" si="740">K480*AH480</f>
        <v>29528.666666666664</v>
      </c>
      <c r="AJ480" s="41">
        <f t="shared" ref="AJ480" si="741">E480/12</f>
        <v>8.3333333333333329E-2</v>
      </c>
      <c r="AK480" s="41">
        <f t="shared" ref="AK480" si="742">K480*AJ480</f>
        <v>29528.666666666664</v>
      </c>
      <c r="AL480" s="33">
        <f t="shared" si="367"/>
        <v>354344</v>
      </c>
    </row>
    <row r="481" spans="2:38" ht="57.75" x14ac:dyDescent="0.25">
      <c r="B481" s="49">
        <v>32302</v>
      </c>
      <c r="C481" s="49" t="s">
        <v>523</v>
      </c>
      <c r="D481" s="49">
        <v>0</v>
      </c>
      <c r="E481" s="49">
        <v>1</v>
      </c>
      <c r="F481" s="49" t="s">
        <v>385</v>
      </c>
      <c r="G481" s="64" t="s">
        <v>89</v>
      </c>
      <c r="H481" s="28" t="s">
        <v>43</v>
      </c>
      <c r="I481" s="143" t="s">
        <v>44</v>
      </c>
      <c r="J481" s="144"/>
      <c r="K481" s="50">
        <v>1</v>
      </c>
      <c r="L481" s="50">
        <f>E481*K481</f>
        <v>1</v>
      </c>
      <c r="N481" s="41"/>
      <c r="O481" s="41"/>
      <c r="P481" s="41"/>
      <c r="Q481" s="41"/>
      <c r="R481" s="41"/>
      <c r="S481" s="41"/>
      <c r="T481" s="43"/>
      <c r="U481" s="41"/>
      <c r="V481" s="41"/>
      <c r="W481" s="41"/>
      <c r="X481" s="43"/>
      <c r="Y481" s="41"/>
      <c r="Z481" s="43"/>
      <c r="AA481" s="41"/>
      <c r="AB481" s="43"/>
      <c r="AC481" s="41"/>
      <c r="AD481" s="41"/>
      <c r="AE481" s="41"/>
      <c r="AF481" s="41"/>
      <c r="AG481" s="41"/>
      <c r="AH481" s="41"/>
      <c r="AI481" s="41"/>
      <c r="AJ481" s="41"/>
      <c r="AK481" s="41"/>
      <c r="AL481" s="33"/>
    </row>
    <row r="482" spans="2:38" x14ac:dyDescent="0.25">
      <c r="B482" s="19">
        <v>32500</v>
      </c>
      <c r="C482" s="19"/>
      <c r="D482" s="19"/>
      <c r="E482" s="19"/>
      <c r="F482" s="19"/>
      <c r="G482" s="58"/>
      <c r="H482" s="59"/>
      <c r="I482" s="95"/>
      <c r="J482" s="95"/>
      <c r="K482" s="20"/>
      <c r="L482" s="21">
        <f>L483</f>
        <v>671627.08</v>
      </c>
      <c r="N482" s="41"/>
      <c r="O482" s="41"/>
      <c r="P482" s="41"/>
      <c r="Q482" s="41"/>
      <c r="R482" s="41"/>
      <c r="S482" s="41"/>
      <c r="T482" s="43"/>
      <c r="U482" s="41"/>
      <c r="V482" s="41"/>
      <c r="W482" s="41"/>
      <c r="X482" s="43"/>
      <c r="Y482" s="41"/>
      <c r="Z482" s="43"/>
      <c r="AA482" s="41"/>
      <c r="AB482" s="43"/>
      <c r="AC482" s="41"/>
      <c r="AD482" s="41"/>
      <c r="AE482" s="41"/>
      <c r="AF482" s="41"/>
      <c r="AG482" s="41"/>
      <c r="AH482" s="41"/>
      <c r="AI482" s="41"/>
      <c r="AJ482" s="41"/>
      <c r="AK482" s="41"/>
      <c r="AL482" s="33"/>
    </row>
    <row r="483" spans="2:38" ht="57.75" x14ac:dyDescent="0.25">
      <c r="B483" s="49">
        <v>32501</v>
      </c>
      <c r="C483" s="49" t="s">
        <v>486</v>
      </c>
      <c r="D483" s="49">
        <v>0</v>
      </c>
      <c r="E483" s="49">
        <v>1</v>
      </c>
      <c r="F483" s="49" t="s">
        <v>385</v>
      </c>
      <c r="G483" s="64" t="s">
        <v>89</v>
      </c>
      <c r="H483" s="28" t="s">
        <v>43</v>
      </c>
      <c r="I483" s="143" t="s">
        <v>44</v>
      </c>
      <c r="J483" s="144"/>
      <c r="K483" s="50">
        <v>671627.08</v>
      </c>
      <c r="L483" s="50">
        <f>E483*K483</f>
        <v>671627.08</v>
      </c>
      <c r="N483" s="41"/>
      <c r="O483" s="41"/>
      <c r="P483" s="41"/>
      <c r="Q483" s="41"/>
      <c r="R483" s="41"/>
      <c r="S483" s="41"/>
      <c r="T483" s="43"/>
      <c r="U483" s="41"/>
      <c r="V483" s="41"/>
      <c r="W483" s="41"/>
      <c r="X483" s="43"/>
      <c r="Y483" s="41"/>
      <c r="Z483" s="43"/>
      <c r="AA483" s="41"/>
      <c r="AB483" s="43"/>
      <c r="AC483" s="41"/>
      <c r="AD483" s="41"/>
      <c r="AE483" s="41"/>
      <c r="AF483" s="41"/>
      <c r="AG483" s="41"/>
      <c r="AH483" s="41"/>
      <c r="AI483" s="41"/>
      <c r="AJ483" s="41"/>
      <c r="AK483" s="41"/>
      <c r="AL483" s="33"/>
    </row>
    <row r="484" spans="2:38" x14ac:dyDescent="0.25">
      <c r="B484" s="19">
        <v>32700</v>
      </c>
      <c r="C484" s="19"/>
      <c r="D484" s="19"/>
      <c r="E484" s="19"/>
      <c r="F484" s="19"/>
      <c r="G484" s="58"/>
      <c r="H484" s="59"/>
      <c r="I484" s="95"/>
      <c r="J484" s="95"/>
      <c r="K484" s="20"/>
      <c r="L484" s="21">
        <f>L485</f>
        <v>5034</v>
      </c>
      <c r="M484" s="60">
        <v>32000</v>
      </c>
      <c r="N484" s="41"/>
      <c r="O484" s="41"/>
      <c r="P484" s="41"/>
      <c r="Q484" s="41"/>
      <c r="R484" s="41"/>
      <c r="S484" s="41"/>
      <c r="T484" s="43"/>
      <c r="U484" s="41"/>
      <c r="V484" s="41"/>
      <c r="W484" s="41"/>
      <c r="X484" s="43"/>
      <c r="Y484" s="41"/>
      <c r="Z484" s="43"/>
      <c r="AA484" s="41"/>
      <c r="AB484" s="43"/>
      <c r="AC484" s="41"/>
      <c r="AD484" s="41"/>
      <c r="AE484" s="41"/>
      <c r="AF484" s="41"/>
      <c r="AG484" s="41"/>
      <c r="AH484" s="41"/>
      <c r="AI484" s="41"/>
      <c r="AJ484" s="41"/>
      <c r="AK484" s="41"/>
      <c r="AL484" s="33"/>
    </row>
    <row r="485" spans="2:38" ht="57.75" x14ac:dyDescent="0.25">
      <c r="B485" s="49">
        <v>32701</v>
      </c>
      <c r="C485" s="49" t="s">
        <v>400</v>
      </c>
      <c r="D485" s="49">
        <v>0</v>
      </c>
      <c r="E485" s="49">
        <v>1</v>
      </c>
      <c r="F485" s="49" t="s">
        <v>385</v>
      </c>
      <c r="G485" s="64" t="s">
        <v>401</v>
      </c>
      <c r="H485" s="28" t="s">
        <v>43</v>
      </c>
      <c r="I485" s="143" t="s">
        <v>44</v>
      </c>
      <c r="J485" s="144"/>
      <c r="K485" s="50">
        <v>5034</v>
      </c>
      <c r="L485" s="50">
        <f>E485*K485</f>
        <v>5034</v>
      </c>
      <c r="N485" s="41">
        <v>1</v>
      </c>
      <c r="O485" s="41">
        <f t="shared" ref="O485" si="743">N485*K485</f>
        <v>5034</v>
      </c>
      <c r="P485" s="41"/>
      <c r="Q485" s="41"/>
      <c r="R485" s="41"/>
      <c r="S485" s="41"/>
      <c r="T485" s="43"/>
      <c r="U485" s="41"/>
      <c r="V485" s="41"/>
      <c r="W485" s="41"/>
      <c r="X485" s="43"/>
      <c r="Y485" s="41"/>
      <c r="Z485" s="43"/>
      <c r="AA485" s="41"/>
      <c r="AB485" s="43"/>
      <c r="AC485" s="41"/>
      <c r="AD485" s="41"/>
      <c r="AE485" s="41"/>
      <c r="AF485" s="41"/>
      <c r="AG485" s="41"/>
      <c r="AH485" s="41"/>
      <c r="AI485" s="41"/>
      <c r="AJ485" s="41"/>
      <c r="AK485" s="41"/>
      <c r="AL485" s="33">
        <f t="shared" si="367"/>
        <v>5034</v>
      </c>
    </row>
    <row r="486" spans="2:38" x14ac:dyDescent="0.25">
      <c r="B486" s="19">
        <v>32900</v>
      </c>
      <c r="C486" s="19"/>
      <c r="D486" s="19"/>
      <c r="E486" s="19"/>
      <c r="F486" s="19"/>
      <c r="G486" s="58"/>
      <c r="H486" s="59"/>
      <c r="I486" s="96"/>
      <c r="J486" s="96"/>
      <c r="K486" s="20"/>
      <c r="L486" s="21">
        <f>L487</f>
        <v>2</v>
      </c>
      <c r="M486" s="60">
        <v>12000</v>
      </c>
      <c r="N486" s="41"/>
      <c r="O486" s="41"/>
      <c r="P486" s="41"/>
      <c r="Q486" s="41"/>
      <c r="R486" s="41"/>
      <c r="S486" s="41"/>
      <c r="T486" s="43"/>
      <c r="U486" s="41"/>
      <c r="V486" s="41"/>
      <c r="W486" s="41"/>
      <c r="X486" s="43"/>
      <c r="Y486" s="41"/>
      <c r="Z486" s="43"/>
      <c r="AA486" s="41"/>
      <c r="AB486" s="43"/>
      <c r="AC486" s="41"/>
      <c r="AD486" s="41"/>
      <c r="AE486" s="41"/>
      <c r="AF486" s="41"/>
      <c r="AG486" s="41"/>
      <c r="AH486" s="41"/>
      <c r="AI486" s="41"/>
      <c r="AJ486" s="41"/>
      <c r="AK486" s="41"/>
      <c r="AL486" s="33"/>
    </row>
    <row r="487" spans="2:38" ht="57.75" x14ac:dyDescent="0.25">
      <c r="B487" s="14">
        <v>32901</v>
      </c>
      <c r="C487" s="14" t="s">
        <v>402</v>
      </c>
      <c r="D487" s="49">
        <v>0</v>
      </c>
      <c r="E487" s="14">
        <v>1</v>
      </c>
      <c r="F487" s="14" t="s">
        <v>385</v>
      </c>
      <c r="G487" s="27" t="s">
        <v>403</v>
      </c>
      <c r="H487" s="28" t="s">
        <v>43</v>
      </c>
      <c r="I487" s="143" t="s">
        <v>44</v>
      </c>
      <c r="J487" s="144"/>
      <c r="K487" s="17">
        <v>2</v>
      </c>
      <c r="L487" s="17">
        <f>E487*K487</f>
        <v>2</v>
      </c>
      <c r="N487" s="41">
        <v>1</v>
      </c>
      <c r="O487" s="41">
        <f t="shared" ref="O487" si="744">N487*K487</f>
        <v>2</v>
      </c>
      <c r="P487" s="41"/>
      <c r="Q487" s="41"/>
      <c r="R487" s="41"/>
      <c r="S487" s="41"/>
      <c r="T487" s="43"/>
      <c r="U487" s="41"/>
      <c r="V487" s="41"/>
      <c r="W487" s="41"/>
      <c r="X487" s="43"/>
      <c r="Y487" s="41"/>
      <c r="Z487" s="43"/>
      <c r="AA487" s="41"/>
      <c r="AB487" s="43"/>
      <c r="AC487" s="41"/>
      <c r="AD487" s="41"/>
      <c r="AE487" s="41"/>
      <c r="AF487" s="41"/>
      <c r="AG487" s="41"/>
      <c r="AH487" s="41"/>
      <c r="AI487" s="41"/>
      <c r="AJ487" s="41"/>
      <c r="AK487" s="41"/>
      <c r="AL487" s="33">
        <f t="shared" si="367"/>
        <v>2</v>
      </c>
    </row>
    <row r="488" spans="2:38" x14ac:dyDescent="0.25">
      <c r="B488" s="19">
        <v>33000</v>
      </c>
      <c r="C488" s="19"/>
      <c r="D488" s="19"/>
      <c r="E488" s="19"/>
      <c r="F488" s="19"/>
      <c r="G488" s="58"/>
      <c r="H488" s="59"/>
      <c r="I488" s="86"/>
      <c r="J488" s="86"/>
      <c r="K488" s="20"/>
      <c r="L488" s="21">
        <f>L489+L492+L495+L497+L512+L499</f>
        <v>3704279.03</v>
      </c>
      <c r="M488" s="60" t="e">
        <f>M489+M492+#REF!+M499</f>
        <v>#REF!</v>
      </c>
      <c r="N488" s="41"/>
      <c r="O488" s="41"/>
      <c r="P488" s="41"/>
      <c r="Q488" s="41"/>
      <c r="R488" s="41"/>
      <c r="S488" s="41"/>
      <c r="T488" s="43"/>
      <c r="U488" s="41"/>
      <c r="V488" s="41"/>
      <c r="W488" s="41"/>
      <c r="X488" s="43"/>
      <c r="Y488" s="41"/>
      <c r="Z488" s="43"/>
      <c r="AA488" s="41"/>
      <c r="AB488" s="43"/>
      <c r="AC488" s="41"/>
      <c r="AD488" s="41"/>
      <c r="AE488" s="41"/>
      <c r="AF488" s="41"/>
      <c r="AG488" s="41"/>
      <c r="AH488" s="41"/>
      <c r="AI488" s="41"/>
      <c r="AJ488" s="41"/>
      <c r="AK488" s="41"/>
      <c r="AL488" s="33"/>
    </row>
    <row r="489" spans="2:38" x14ac:dyDescent="0.25">
      <c r="B489" s="19">
        <v>33100</v>
      </c>
      <c r="C489" s="19"/>
      <c r="D489" s="19"/>
      <c r="E489" s="19"/>
      <c r="F489" s="19"/>
      <c r="G489" s="58"/>
      <c r="H489" s="59"/>
      <c r="I489" s="96"/>
      <c r="J489" s="96"/>
      <c r="K489" s="20"/>
      <c r="L489" s="21">
        <f>SUM(L490:L491)</f>
        <v>2896595.69</v>
      </c>
      <c r="M489" s="60">
        <f>M491</f>
        <v>800000</v>
      </c>
      <c r="N489" s="41"/>
      <c r="O489" s="41"/>
      <c r="P489" s="41"/>
      <c r="Q489" s="41"/>
      <c r="R489" s="41"/>
      <c r="S489" s="41"/>
      <c r="T489" s="43"/>
      <c r="U489" s="41"/>
      <c r="V489" s="41"/>
      <c r="W489" s="41"/>
      <c r="X489" s="43"/>
      <c r="Y489" s="41"/>
      <c r="Z489" s="43"/>
      <c r="AA489" s="41"/>
      <c r="AB489" s="43"/>
      <c r="AC489" s="41"/>
      <c r="AD489" s="41"/>
      <c r="AE489" s="41"/>
      <c r="AF489" s="41"/>
      <c r="AG489" s="41"/>
      <c r="AH489" s="41"/>
      <c r="AI489" s="41"/>
      <c r="AJ489" s="41"/>
      <c r="AK489" s="41"/>
      <c r="AL489" s="33"/>
    </row>
    <row r="490" spans="2:38" ht="57.75" x14ac:dyDescent="0.25">
      <c r="B490" s="49">
        <v>33102</v>
      </c>
      <c r="C490" s="49" t="s">
        <v>524</v>
      </c>
      <c r="D490" s="49">
        <v>0</v>
      </c>
      <c r="E490" s="49">
        <v>1</v>
      </c>
      <c r="F490" s="49" t="s">
        <v>405</v>
      </c>
      <c r="G490" s="64" t="s">
        <v>406</v>
      </c>
      <c r="H490" s="28" t="s">
        <v>43</v>
      </c>
      <c r="I490" s="143" t="s">
        <v>44</v>
      </c>
      <c r="J490" s="144"/>
      <c r="K490" s="50">
        <v>2895155.69</v>
      </c>
      <c r="L490" s="50">
        <f>E490*K490</f>
        <v>2895155.69</v>
      </c>
      <c r="M490" s="44"/>
      <c r="N490" s="41"/>
      <c r="O490" s="41"/>
      <c r="P490" s="41"/>
      <c r="Q490" s="41"/>
      <c r="R490" s="41"/>
      <c r="S490" s="41"/>
      <c r="T490" s="43"/>
      <c r="U490" s="41"/>
      <c r="V490" s="41"/>
      <c r="W490" s="41"/>
      <c r="X490" s="43"/>
      <c r="Y490" s="41"/>
      <c r="Z490" s="43"/>
      <c r="AA490" s="41"/>
      <c r="AB490" s="43"/>
      <c r="AC490" s="41"/>
      <c r="AD490" s="41"/>
      <c r="AE490" s="41"/>
      <c r="AF490" s="41"/>
      <c r="AG490" s="41"/>
      <c r="AH490" s="41"/>
      <c r="AI490" s="41"/>
      <c r="AJ490" s="41"/>
      <c r="AK490" s="41"/>
      <c r="AL490" s="33"/>
    </row>
    <row r="491" spans="2:38" ht="57.75" x14ac:dyDescent="0.25">
      <c r="B491" s="49">
        <v>33103</v>
      </c>
      <c r="C491" s="49" t="s">
        <v>404</v>
      </c>
      <c r="D491" s="49">
        <v>0</v>
      </c>
      <c r="E491" s="49">
        <v>1</v>
      </c>
      <c r="F491" s="49" t="s">
        <v>405</v>
      </c>
      <c r="G491" s="64" t="s">
        <v>406</v>
      </c>
      <c r="H491" s="28" t="s">
        <v>43</v>
      </c>
      <c r="I491" s="143" t="s">
        <v>44</v>
      </c>
      <c r="J491" s="144"/>
      <c r="K491" s="50">
        <v>1440</v>
      </c>
      <c r="L491" s="50">
        <f>E491*K491</f>
        <v>1440</v>
      </c>
      <c r="M491" s="1">
        <v>800000</v>
      </c>
      <c r="N491" s="41">
        <f t="shared" ref="N491" si="745">E491/12</f>
        <v>8.3333333333333329E-2</v>
      </c>
      <c r="O491" s="41">
        <f t="shared" ref="O491" si="746">N491*K491</f>
        <v>120</v>
      </c>
      <c r="P491" s="41">
        <f t="shared" ref="P491" si="747">E491/12</f>
        <v>8.3333333333333329E-2</v>
      </c>
      <c r="Q491" s="41">
        <f t="shared" ref="Q491" si="748">K491*P491</f>
        <v>120</v>
      </c>
      <c r="R491" s="41">
        <f t="shared" ref="R491" si="749">E491/12</f>
        <v>8.3333333333333329E-2</v>
      </c>
      <c r="S491" s="41">
        <f t="shared" ref="S491" si="750">K491*R491</f>
        <v>120</v>
      </c>
      <c r="T491" s="43">
        <f t="shared" ref="T491" si="751">E491/12</f>
        <v>8.3333333333333329E-2</v>
      </c>
      <c r="U491" s="41">
        <f t="shared" ref="U491" si="752">K491*T491</f>
        <v>120</v>
      </c>
      <c r="V491" s="41">
        <f t="shared" ref="V491" si="753">E491/12</f>
        <v>8.3333333333333329E-2</v>
      </c>
      <c r="W491" s="41">
        <f t="shared" ref="W491" si="754">K491*V491</f>
        <v>120</v>
      </c>
      <c r="X491" s="43">
        <f t="shared" ref="X491" si="755">E491/12</f>
        <v>8.3333333333333329E-2</v>
      </c>
      <c r="Y491" s="41">
        <f t="shared" ref="Y491" si="756">K491*X491</f>
        <v>120</v>
      </c>
      <c r="Z491" s="43">
        <f t="shared" ref="Z491" si="757">E491/12</f>
        <v>8.3333333333333329E-2</v>
      </c>
      <c r="AA491" s="41">
        <f t="shared" ref="AA491" si="758">K491*Z491</f>
        <v>120</v>
      </c>
      <c r="AB491" s="43">
        <f t="shared" ref="AB491" si="759">E491/12</f>
        <v>8.3333333333333329E-2</v>
      </c>
      <c r="AC491" s="41">
        <f t="shared" ref="AC491" si="760">K491*AB491</f>
        <v>120</v>
      </c>
      <c r="AD491" s="41">
        <f t="shared" ref="AD491" si="761">E491/12</f>
        <v>8.3333333333333329E-2</v>
      </c>
      <c r="AE491" s="41">
        <f t="shared" ref="AE491" si="762">K491*AD491</f>
        <v>120</v>
      </c>
      <c r="AF491" s="41">
        <f t="shared" ref="AF491" si="763">E491/12</f>
        <v>8.3333333333333329E-2</v>
      </c>
      <c r="AG491" s="41">
        <f t="shared" ref="AG491" si="764">K491*AF491</f>
        <v>120</v>
      </c>
      <c r="AH491" s="41">
        <f t="shared" ref="AH491" si="765">E491/12</f>
        <v>8.3333333333333329E-2</v>
      </c>
      <c r="AI491" s="41">
        <f t="shared" ref="AI491" si="766">K491*AH491</f>
        <v>120</v>
      </c>
      <c r="AJ491" s="41">
        <f t="shared" ref="AJ491" si="767">E491/12</f>
        <v>8.3333333333333329E-2</v>
      </c>
      <c r="AK491" s="41">
        <f t="shared" ref="AK491" si="768">K491*AJ491</f>
        <v>120</v>
      </c>
      <c r="AL491" s="33">
        <f t="shared" si="367"/>
        <v>1440</v>
      </c>
    </row>
    <row r="492" spans="2:38" x14ac:dyDescent="0.25">
      <c r="B492" s="19">
        <v>33300</v>
      </c>
      <c r="C492" s="19"/>
      <c r="D492" s="19"/>
      <c r="E492" s="19"/>
      <c r="F492" s="19"/>
      <c r="G492" s="58"/>
      <c r="H492" s="59"/>
      <c r="I492" s="95"/>
      <c r="J492" s="97"/>
      <c r="K492" s="98"/>
      <c r="L492" s="21">
        <f>SUM(L493:L494)</f>
        <v>754001</v>
      </c>
      <c r="M492" s="60">
        <f>M494</f>
        <v>5002</v>
      </c>
      <c r="N492" s="41"/>
      <c r="O492" s="41"/>
      <c r="P492" s="41"/>
      <c r="Q492" s="41"/>
      <c r="R492" s="41"/>
      <c r="S492" s="41"/>
      <c r="T492" s="43"/>
      <c r="U492" s="41"/>
      <c r="V492" s="41"/>
      <c r="W492" s="41"/>
      <c r="X492" s="43"/>
      <c r="Y492" s="41"/>
      <c r="Z492" s="43"/>
      <c r="AA492" s="41"/>
      <c r="AB492" s="43"/>
      <c r="AC492" s="41"/>
      <c r="AD492" s="41"/>
      <c r="AE492" s="41"/>
      <c r="AF492" s="41"/>
      <c r="AG492" s="41"/>
      <c r="AH492" s="41"/>
      <c r="AI492" s="41"/>
      <c r="AJ492" s="41"/>
      <c r="AK492" s="41"/>
      <c r="AL492" s="33"/>
    </row>
    <row r="493" spans="2:38" ht="57.75" x14ac:dyDescent="0.25">
      <c r="B493" s="49">
        <v>33301</v>
      </c>
      <c r="C493" s="49" t="s">
        <v>525</v>
      </c>
      <c r="D493" s="49">
        <v>0</v>
      </c>
      <c r="E493" s="49">
        <v>1</v>
      </c>
      <c r="F493" s="49" t="s">
        <v>385</v>
      </c>
      <c r="G493" s="64" t="s">
        <v>408</v>
      </c>
      <c r="H493" s="28" t="s">
        <v>43</v>
      </c>
      <c r="I493" s="143" t="s">
        <v>44</v>
      </c>
      <c r="J493" s="144"/>
      <c r="K493" s="50">
        <v>680001</v>
      </c>
      <c r="L493" s="50">
        <f>E493*K493</f>
        <v>680001</v>
      </c>
      <c r="M493" s="1">
        <v>5002</v>
      </c>
      <c r="N493" s="41">
        <f t="shared" ref="N493" si="769">E493/12</f>
        <v>8.3333333333333329E-2</v>
      </c>
      <c r="O493" s="41">
        <f t="shared" ref="O493" si="770">N493*K493</f>
        <v>56666.75</v>
      </c>
      <c r="P493" s="41">
        <f t="shared" ref="P493" si="771">E493/12</f>
        <v>8.3333333333333329E-2</v>
      </c>
      <c r="Q493" s="41">
        <f t="shared" ref="Q493" si="772">K493*P493</f>
        <v>56666.75</v>
      </c>
      <c r="R493" s="41">
        <f t="shared" ref="R493" si="773">E493/12</f>
        <v>8.3333333333333329E-2</v>
      </c>
      <c r="S493" s="41">
        <f t="shared" ref="S493" si="774">K493*R493</f>
        <v>56666.75</v>
      </c>
      <c r="T493" s="43">
        <f t="shared" ref="T493" si="775">E493/12</f>
        <v>8.3333333333333329E-2</v>
      </c>
      <c r="U493" s="41">
        <f t="shared" ref="U493" si="776">K493*T493</f>
        <v>56666.75</v>
      </c>
      <c r="V493" s="41">
        <f t="shared" ref="V493" si="777">E493/12</f>
        <v>8.3333333333333329E-2</v>
      </c>
      <c r="W493" s="41">
        <f t="shared" ref="W493" si="778">K493*V493</f>
        <v>56666.75</v>
      </c>
      <c r="X493" s="43">
        <f t="shared" ref="X493" si="779">E493/12</f>
        <v>8.3333333333333329E-2</v>
      </c>
      <c r="Y493" s="41">
        <f t="shared" ref="Y493" si="780">K493*X493</f>
        <v>56666.75</v>
      </c>
      <c r="Z493" s="43">
        <f t="shared" ref="Z493" si="781">E493/12</f>
        <v>8.3333333333333329E-2</v>
      </c>
      <c r="AA493" s="41">
        <f t="shared" ref="AA493" si="782">K493*Z493</f>
        <v>56666.75</v>
      </c>
      <c r="AB493" s="43">
        <f t="shared" ref="AB493" si="783">E493/12</f>
        <v>8.3333333333333329E-2</v>
      </c>
      <c r="AC493" s="41">
        <f t="shared" ref="AC493" si="784">K493*AB493</f>
        <v>56666.75</v>
      </c>
      <c r="AD493" s="41">
        <f t="shared" ref="AD493" si="785">E493/12</f>
        <v>8.3333333333333329E-2</v>
      </c>
      <c r="AE493" s="41">
        <f t="shared" ref="AE493" si="786">K493*AD493</f>
        <v>56666.75</v>
      </c>
      <c r="AF493" s="41">
        <f t="shared" ref="AF493" si="787">E493/12</f>
        <v>8.3333333333333329E-2</v>
      </c>
      <c r="AG493" s="41">
        <f t="shared" ref="AG493" si="788">K493*AF493</f>
        <v>56666.75</v>
      </c>
      <c r="AH493" s="41">
        <f t="shared" ref="AH493" si="789">E493/12</f>
        <v>8.3333333333333329E-2</v>
      </c>
      <c r="AI493" s="41">
        <f t="shared" ref="AI493" si="790">K493*AH493</f>
        <v>56666.75</v>
      </c>
      <c r="AJ493" s="41">
        <f t="shared" ref="AJ493" si="791">E493/12</f>
        <v>8.3333333333333329E-2</v>
      </c>
      <c r="AK493" s="41">
        <f t="shared" ref="AK493" si="792">K493*AJ493</f>
        <v>56666.75</v>
      </c>
      <c r="AL493" s="33">
        <f t="shared" ref="AL493" si="793">O493+Q493+S493+U493+W493+Y493+AA493+AC493+AE493+AG493+AI493+AK493</f>
        <v>680001</v>
      </c>
    </row>
    <row r="494" spans="2:38" ht="57.75" x14ac:dyDescent="0.25">
      <c r="B494" s="49">
        <v>33303</v>
      </c>
      <c r="C494" s="49" t="s">
        <v>407</v>
      </c>
      <c r="D494" s="49">
        <v>0</v>
      </c>
      <c r="E494" s="49">
        <v>1</v>
      </c>
      <c r="F494" s="49" t="s">
        <v>385</v>
      </c>
      <c r="G494" s="64" t="s">
        <v>408</v>
      </c>
      <c r="H494" s="28" t="s">
        <v>43</v>
      </c>
      <c r="I494" s="143" t="s">
        <v>44</v>
      </c>
      <c r="J494" s="144"/>
      <c r="K494" s="50">
        <v>74000</v>
      </c>
      <c r="L494" s="50">
        <f>E494*K494</f>
        <v>74000</v>
      </c>
      <c r="M494" s="1">
        <v>5002</v>
      </c>
      <c r="N494" s="41">
        <f t="shared" ref="N494" si="794">E494/12</f>
        <v>8.3333333333333329E-2</v>
      </c>
      <c r="O494" s="41">
        <f t="shared" ref="O494" si="795">N494*K494</f>
        <v>6166.6666666666661</v>
      </c>
      <c r="P494" s="41">
        <f t="shared" ref="P494" si="796">E494/12</f>
        <v>8.3333333333333329E-2</v>
      </c>
      <c r="Q494" s="41">
        <f t="shared" ref="Q494" si="797">K494*P494</f>
        <v>6166.6666666666661</v>
      </c>
      <c r="R494" s="41">
        <f t="shared" ref="R494" si="798">E494/12</f>
        <v>8.3333333333333329E-2</v>
      </c>
      <c r="S494" s="41">
        <f t="shared" ref="S494" si="799">K494*R494</f>
        <v>6166.6666666666661</v>
      </c>
      <c r="T494" s="43">
        <f t="shared" ref="T494" si="800">E494/12</f>
        <v>8.3333333333333329E-2</v>
      </c>
      <c r="U494" s="41">
        <f t="shared" ref="U494" si="801">K494*T494</f>
        <v>6166.6666666666661</v>
      </c>
      <c r="V494" s="41">
        <f t="shared" ref="V494" si="802">E494/12</f>
        <v>8.3333333333333329E-2</v>
      </c>
      <c r="W494" s="41">
        <f t="shared" ref="W494" si="803">K494*V494</f>
        <v>6166.6666666666661</v>
      </c>
      <c r="X494" s="43">
        <f t="shared" ref="X494" si="804">E494/12</f>
        <v>8.3333333333333329E-2</v>
      </c>
      <c r="Y494" s="41">
        <f t="shared" ref="Y494" si="805">K494*X494</f>
        <v>6166.6666666666661</v>
      </c>
      <c r="Z494" s="43">
        <f t="shared" ref="Z494" si="806">E494/12</f>
        <v>8.3333333333333329E-2</v>
      </c>
      <c r="AA494" s="41">
        <f t="shared" ref="AA494" si="807">K494*Z494</f>
        <v>6166.6666666666661</v>
      </c>
      <c r="AB494" s="43">
        <f t="shared" ref="AB494" si="808">E494/12</f>
        <v>8.3333333333333329E-2</v>
      </c>
      <c r="AC494" s="41">
        <f t="shared" ref="AC494" si="809">K494*AB494</f>
        <v>6166.6666666666661</v>
      </c>
      <c r="AD494" s="41">
        <f t="shared" ref="AD494" si="810">E494/12</f>
        <v>8.3333333333333329E-2</v>
      </c>
      <c r="AE494" s="41">
        <f t="shared" ref="AE494" si="811">K494*AD494</f>
        <v>6166.6666666666661</v>
      </c>
      <c r="AF494" s="41">
        <f t="shared" ref="AF494" si="812">E494/12</f>
        <v>8.3333333333333329E-2</v>
      </c>
      <c r="AG494" s="41">
        <f t="shared" ref="AG494" si="813">K494*AF494</f>
        <v>6166.6666666666661</v>
      </c>
      <c r="AH494" s="41">
        <f t="shared" ref="AH494" si="814">E494/12</f>
        <v>8.3333333333333329E-2</v>
      </c>
      <c r="AI494" s="41">
        <f t="shared" ref="AI494" si="815">K494*AH494</f>
        <v>6166.6666666666661</v>
      </c>
      <c r="AJ494" s="41">
        <f t="shared" ref="AJ494" si="816">E494/12</f>
        <v>8.3333333333333329E-2</v>
      </c>
      <c r="AK494" s="41">
        <f t="shared" ref="AK494" si="817">K494*AJ494</f>
        <v>6166.6666666666661</v>
      </c>
      <c r="AL494" s="33">
        <f t="shared" si="367"/>
        <v>73999.999999999985</v>
      </c>
    </row>
    <row r="495" spans="2:38" x14ac:dyDescent="0.25">
      <c r="B495" s="19">
        <v>33400</v>
      </c>
      <c r="C495" s="19"/>
      <c r="D495" s="19"/>
      <c r="E495" s="19"/>
      <c r="F495" s="19"/>
      <c r="G495" s="58"/>
      <c r="H495" s="59"/>
      <c r="I495" s="95"/>
      <c r="J495" s="97"/>
      <c r="K495" s="98"/>
      <c r="L495" s="21">
        <f>+L496</f>
        <v>18542</v>
      </c>
      <c r="M495" s="60" t="e">
        <f>M499</f>
        <v>#REF!</v>
      </c>
      <c r="N495" s="41"/>
      <c r="O495" s="41"/>
      <c r="P495" s="41"/>
      <c r="Q495" s="41"/>
      <c r="R495" s="41"/>
      <c r="S495" s="41"/>
      <c r="T495" s="43"/>
      <c r="U495" s="41"/>
      <c r="V495" s="41"/>
      <c r="W495" s="41"/>
      <c r="X495" s="43"/>
      <c r="Y495" s="41"/>
      <c r="Z495" s="43"/>
      <c r="AA495" s="41"/>
      <c r="AB495" s="43"/>
      <c r="AC495" s="41"/>
      <c r="AD495" s="41"/>
      <c r="AE495" s="41"/>
      <c r="AF495" s="41"/>
      <c r="AG495" s="41"/>
      <c r="AH495" s="41"/>
      <c r="AI495" s="41"/>
      <c r="AJ495" s="41"/>
      <c r="AK495" s="41"/>
      <c r="AL495" s="33"/>
    </row>
    <row r="496" spans="2:38" ht="57.75" x14ac:dyDescent="0.25">
      <c r="B496" s="49">
        <v>33401</v>
      </c>
      <c r="C496" s="49" t="s">
        <v>526</v>
      </c>
      <c r="D496" s="49">
        <v>0</v>
      </c>
      <c r="E496" s="49">
        <v>1</v>
      </c>
      <c r="F496" s="49" t="s">
        <v>385</v>
      </c>
      <c r="G496" s="64" t="s">
        <v>408</v>
      </c>
      <c r="H496" s="28" t="s">
        <v>43</v>
      </c>
      <c r="I496" s="143" t="s">
        <v>44</v>
      </c>
      <c r="J496" s="144"/>
      <c r="K496" s="50">
        <v>18542</v>
      </c>
      <c r="L496" s="50">
        <f>E496*K496</f>
        <v>18542</v>
      </c>
      <c r="M496" s="1">
        <v>5002</v>
      </c>
      <c r="N496" s="41">
        <f t="shared" ref="N496" si="818">E496/12</f>
        <v>8.3333333333333329E-2</v>
      </c>
      <c r="O496" s="41">
        <f t="shared" ref="O496" si="819">N496*K496</f>
        <v>1545.1666666666665</v>
      </c>
      <c r="P496" s="41">
        <f t="shared" ref="P496" si="820">E496/12</f>
        <v>8.3333333333333329E-2</v>
      </c>
      <c r="Q496" s="41">
        <f t="shared" ref="Q496" si="821">K496*P496</f>
        <v>1545.1666666666665</v>
      </c>
      <c r="R496" s="41">
        <f t="shared" ref="R496" si="822">E496/12</f>
        <v>8.3333333333333329E-2</v>
      </c>
      <c r="S496" s="41">
        <f t="shared" ref="S496" si="823">K496*R496</f>
        <v>1545.1666666666665</v>
      </c>
      <c r="T496" s="43">
        <f t="shared" ref="T496" si="824">E496/12</f>
        <v>8.3333333333333329E-2</v>
      </c>
      <c r="U496" s="41">
        <f t="shared" ref="U496" si="825">K496*T496</f>
        <v>1545.1666666666665</v>
      </c>
      <c r="V496" s="41">
        <f t="shared" ref="V496" si="826">E496/12</f>
        <v>8.3333333333333329E-2</v>
      </c>
      <c r="W496" s="41">
        <f t="shared" ref="W496" si="827">K496*V496</f>
        <v>1545.1666666666665</v>
      </c>
      <c r="X496" s="43">
        <f t="shared" ref="X496" si="828">E496/12</f>
        <v>8.3333333333333329E-2</v>
      </c>
      <c r="Y496" s="41">
        <f t="shared" ref="Y496" si="829">K496*X496</f>
        <v>1545.1666666666665</v>
      </c>
      <c r="Z496" s="43">
        <f t="shared" ref="Z496" si="830">E496/12</f>
        <v>8.3333333333333329E-2</v>
      </c>
      <c r="AA496" s="41">
        <f t="shared" ref="AA496" si="831">K496*Z496</f>
        <v>1545.1666666666665</v>
      </c>
      <c r="AB496" s="43">
        <f t="shared" ref="AB496" si="832">E496/12</f>
        <v>8.3333333333333329E-2</v>
      </c>
      <c r="AC496" s="41">
        <f t="shared" ref="AC496" si="833">K496*AB496</f>
        <v>1545.1666666666665</v>
      </c>
      <c r="AD496" s="41">
        <f t="shared" ref="AD496" si="834">E496/12</f>
        <v>8.3333333333333329E-2</v>
      </c>
      <c r="AE496" s="41">
        <f t="shared" ref="AE496" si="835">K496*AD496</f>
        <v>1545.1666666666665</v>
      </c>
      <c r="AF496" s="41">
        <f t="shared" ref="AF496" si="836">E496/12</f>
        <v>8.3333333333333329E-2</v>
      </c>
      <c r="AG496" s="41">
        <f t="shared" ref="AG496" si="837">K496*AF496</f>
        <v>1545.1666666666665</v>
      </c>
      <c r="AH496" s="41">
        <f t="shared" ref="AH496" si="838">E496/12</f>
        <v>8.3333333333333329E-2</v>
      </c>
      <c r="AI496" s="41">
        <f t="shared" ref="AI496" si="839">K496*AH496</f>
        <v>1545.1666666666665</v>
      </c>
      <c r="AJ496" s="41">
        <f t="shared" ref="AJ496" si="840">E496/12</f>
        <v>8.3333333333333329E-2</v>
      </c>
      <c r="AK496" s="41">
        <f t="shared" ref="AK496" si="841">K496*AJ496</f>
        <v>1545.1666666666665</v>
      </c>
      <c r="AL496" s="33">
        <f t="shared" ref="AL496" si="842">O496+Q496+S496+U496+W496+Y496+AA496+AC496+AE496+AG496+AI496+AK496</f>
        <v>18541.999999999996</v>
      </c>
    </row>
    <row r="497" spans="2:38" x14ac:dyDescent="0.25">
      <c r="B497" s="19">
        <v>33500</v>
      </c>
      <c r="C497" s="19"/>
      <c r="D497" s="19"/>
      <c r="E497" s="19"/>
      <c r="F497" s="19"/>
      <c r="G497" s="58"/>
      <c r="H497" s="59"/>
      <c r="I497" s="95"/>
      <c r="J497" s="97"/>
      <c r="K497" s="98"/>
      <c r="L497" s="21">
        <f>+L498</f>
        <v>1</v>
      </c>
      <c r="N497" s="41"/>
      <c r="O497" s="41"/>
      <c r="P497" s="41"/>
      <c r="Q497" s="41"/>
      <c r="R497" s="41"/>
      <c r="S497" s="41"/>
      <c r="T497" s="43"/>
      <c r="U497" s="41"/>
      <c r="V497" s="41"/>
      <c r="W497" s="41"/>
      <c r="X497" s="43"/>
      <c r="Y497" s="41"/>
      <c r="Z497" s="43"/>
      <c r="AA497" s="41"/>
      <c r="AB497" s="43"/>
      <c r="AC497" s="41"/>
      <c r="AD497" s="41"/>
      <c r="AE497" s="41"/>
      <c r="AF497" s="41"/>
      <c r="AG497" s="41"/>
      <c r="AH497" s="41"/>
      <c r="AI497" s="41"/>
      <c r="AJ497" s="41"/>
      <c r="AK497" s="41"/>
      <c r="AL497" s="33"/>
    </row>
    <row r="498" spans="2:38" ht="57.75" x14ac:dyDescent="0.25">
      <c r="B498" s="49">
        <v>33501</v>
      </c>
      <c r="C498" s="49" t="s">
        <v>527</v>
      </c>
      <c r="D498" s="49">
        <v>0</v>
      </c>
      <c r="E498" s="49">
        <v>1</v>
      </c>
      <c r="F498" s="49" t="s">
        <v>385</v>
      </c>
      <c r="G498" s="64" t="s">
        <v>408</v>
      </c>
      <c r="H498" s="28" t="s">
        <v>43</v>
      </c>
      <c r="I498" s="143" t="s">
        <v>44</v>
      </c>
      <c r="J498" s="144"/>
      <c r="K498" s="50">
        <v>1</v>
      </c>
      <c r="L498" s="50">
        <f>E498*K498</f>
        <v>1</v>
      </c>
      <c r="N498" s="41"/>
      <c r="O498" s="41"/>
      <c r="P498" s="41"/>
      <c r="Q498" s="41"/>
      <c r="R498" s="41"/>
      <c r="S498" s="41"/>
      <c r="T498" s="43"/>
      <c r="U498" s="41"/>
      <c r="V498" s="41"/>
      <c r="W498" s="41"/>
      <c r="X498" s="43"/>
      <c r="Y498" s="41"/>
      <c r="Z498" s="43"/>
      <c r="AA498" s="41"/>
      <c r="AB498" s="43"/>
      <c r="AC498" s="41"/>
      <c r="AD498" s="41"/>
      <c r="AE498" s="41"/>
      <c r="AF498" s="41"/>
      <c r="AG498" s="41"/>
      <c r="AH498" s="41"/>
      <c r="AI498" s="41"/>
      <c r="AJ498" s="41"/>
      <c r="AK498" s="41"/>
      <c r="AL498" s="33"/>
    </row>
    <row r="499" spans="2:38" x14ac:dyDescent="0.25">
      <c r="B499" s="19">
        <v>33600</v>
      </c>
      <c r="C499" s="19"/>
      <c r="D499" s="19"/>
      <c r="E499" s="19"/>
      <c r="F499" s="19"/>
      <c r="G499" s="58"/>
      <c r="H499" s="59"/>
      <c r="I499" s="145"/>
      <c r="J499" s="146"/>
      <c r="K499" s="20"/>
      <c r="L499" s="21">
        <f>+L500+L501+L502</f>
        <v>28140.34</v>
      </c>
      <c r="M499" s="60" t="e">
        <f>#REF!+M502</f>
        <v>#REF!</v>
      </c>
      <c r="N499" s="41"/>
      <c r="O499" s="41"/>
      <c r="P499" s="41"/>
      <c r="Q499" s="41"/>
      <c r="R499" s="41"/>
      <c r="S499" s="41"/>
      <c r="T499" s="43"/>
      <c r="U499" s="41"/>
      <c r="V499" s="41"/>
      <c r="W499" s="41"/>
      <c r="X499" s="43"/>
      <c r="Y499" s="41"/>
      <c r="Z499" s="43"/>
      <c r="AA499" s="41"/>
      <c r="AB499" s="43"/>
      <c r="AC499" s="41"/>
      <c r="AD499" s="41"/>
      <c r="AE499" s="41"/>
      <c r="AF499" s="41"/>
      <c r="AG499" s="41"/>
      <c r="AH499" s="41"/>
      <c r="AI499" s="41"/>
      <c r="AJ499" s="41"/>
      <c r="AK499" s="41"/>
      <c r="AL499" s="33"/>
    </row>
    <row r="500" spans="2:38" ht="57.75" x14ac:dyDescent="0.25">
      <c r="B500" s="49">
        <v>33602</v>
      </c>
      <c r="C500" s="49" t="s">
        <v>158</v>
      </c>
      <c r="D500" s="49">
        <v>0</v>
      </c>
      <c r="E500" s="49">
        <v>4</v>
      </c>
      <c r="F500" s="49" t="s">
        <v>409</v>
      </c>
      <c r="G500" s="64" t="s">
        <v>89</v>
      </c>
      <c r="H500" s="28" t="s">
        <v>43</v>
      </c>
      <c r="I500" s="143" t="s">
        <v>44</v>
      </c>
      <c r="J500" s="144"/>
      <c r="K500" s="50">
        <v>625</v>
      </c>
      <c r="L500" s="50">
        <f>E500*K500</f>
        <v>2500</v>
      </c>
      <c r="N500" s="41">
        <f t="shared" ref="N500" si="843">E500/12</f>
        <v>0.33333333333333331</v>
      </c>
      <c r="O500" s="41">
        <f t="shared" ref="O500" si="844">N500*K500</f>
        <v>208.33333333333331</v>
      </c>
      <c r="P500" s="41">
        <f t="shared" ref="P500" si="845">E500/12</f>
        <v>0.33333333333333331</v>
      </c>
      <c r="Q500" s="41">
        <f t="shared" ref="Q500" si="846">K500*P500</f>
        <v>208.33333333333331</v>
      </c>
      <c r="R500" s="41">
        <f t="shared" ref="R500" si="847">E500/12</f>
        <v>0.33333333333333331</v>
      </c>
      <c r="S500" s="41">
        <f t="shared" ref="S500" si="848">K500*R500</f>
        <v>208.33333333333331</v>
      </c>
      <c r="T500" s="43">
        <f t="shared" ref="T500" si="849">E500/12</f>
        <v>0.33333333333333331</v>
      </c>
      <c r="U500" s="41">
        <f t="shared" ref="U500" si="850">K500*T500</f>
        <v>208.33333333333331</v>
      </c>
      <c r="V500" s="41">
        <f t="shared" ref="V500" si="851">E500/12</f>
        <v>0.33333333333333331</v>
      </c>
      <c r="W500" s="41">
        <f t="shared" ref="W500" si="852">K500*V500</f>
        <v>208.33333333333331</v>
      </c>
      <c r="X500" s="43">
        <f t="shared" ref="X500" si="853">E500/12</f>
        <v>0.33333333333333331</v>
      </c>
      <c r="Y500" s="41">
        <f t="shared" ref="Y500" si="854">K500*X500</f>
        <v>208.33333333333331</v>
      </c>
      <c r="Z500" s="43">
        <f t="shared" ref="Z500" si="855">E500/12</f>
        <v>0.33333333333333331</v>
      </c>
      <c r="AA500" s="41">
        <f t="shared" ref="AA500" si="856">K500*Z500</f>
        <v>208.33333333333331</v>
      </c>
      <c r="AB500" s="43">
        <f t="shared" ref="AB500" si="857">E500/12</f>
        <v>0.33333333333333331</v>
      </c>
      <c r="AC500" s="41">
        <f t="shared" ref="AC500" si="858">K500*AB500</f>
        <v>208.33333333333331</v>
      </c>
      <c r="AD500" s="41">
        <f t="shared" ref="AD500" si="859">E500/12</f>
        <v>0.33333333333333331</v>
      </c>
      <c r="AE500" s="41">
        <f t="shared" ref="AE500" si="860">K500*AD500</f>
        <v>208.33333333333331</v>
      </c>
      <c r="AF500" s="41">
        <f t="shared" ref="AF500" si="861">E500/12</f>
        <v>0.33333333333333331</v>
      </c>
      <c r="AG500" s="41">
        <f t="shared" ref="AG500" si="862">K500*AF500</f>
        <v>208.33333333333331</v>
      </c>
      <c r="AH500" s="41">
        <f t="shared" ref="AH500" si="863">E500/12</f>
        <v>0.33333333333333331</v>
      </c>
      <c r="AI500" s="41">
        <f t="shared" ref="AI500" si="864">K500*AH500</f>
        <v>208.33333333333331</v>
      </c>
      <c r="AJ500" s="41">
        <f t="shared" ref="AJ500" si="865">E500/12</f>
        <v>0.33333333333333331</v>
      </c>
      <c r="AK500" s="41">
        <f t="shared" ref="AK500" si="866">K500*AJ500</f>
        <v>208.33333333333331</v>
      </c>
      <c r="AL500" s="33">
        <f t="shared" si="367"/>
        <v>2500</v>
      </c>
    </row>
    <row r="501" spans="2:38" ht="67.5" x14ac:dyDescent="0.25">
      <c r="B501" s="49">
        <v>33603</v>
      </c>
      <c r="C501" s="49" t="s">
        <v>529</v>
      </c>
      <c r="D501" s="49">
        <v>0</v>
      </c>
      <c r="E501" s="49">
        <v>1</v>
      </c>
      <c r="F501" s="49" t="s">
        <v>409</v>
      </c>
      <c r="G501" s="64" t="s">
        <v>89</v>
      </c>
      <c r="H501" s="28" t="s">
        <v>43</v>
      </c>
      <c r="I501" s="143" t="s">
        <v>44</v>
      </c>
      <c r="J501" s="144"/>
      <c r="K501" s="50">
        <v>1</v>
      </c>
      <c r="L501" s="50">
        <f>E501*K501</f>
        <v>1</v>
      </c>
      <c r="N501" s="41">
        <f t="shared" ref="N501" si="867">E501/12</f>
        <v>8.3333333333333329E-2</v>
      </c>
      <c r="O501" s="41">
        <f t="shared" ref="O501" si="868">N501*K501</f>
        <v>8.3333333333333329E-2</v>
      </c>
      <c r="P501" s="41">
        <f t="shared" ref="P501" si="869">E501/12</f>
        <v>8.3333333333333329E-2</v>
      </c>
      <c r="Q501" s="41">
        <f t="shared" ref="Q501" si="870">K501*P501</f>
        <v>8.3333333333333329E-2</v>
      </c>
      <c r="R501" s="41">
        <f t="shared" ref="R501" si="871">E501/12</f>
        <v>8.3333333333333329E-2</v>
      </c>
      <c r="S501" s="41">
        <f t="shared" ref="S501" si="872">K501*R501</f>
        <v>8.3333333333333329E-2</v>
      </c>
      <c r="T501" s="43">
        <f t="shared" ref="T501" si="873">E501/12</f>
        <v>8.3333333333333329E-2</v>
      </c>
      <c r="U501" s="41">
        <f t="shared" ref="U501" si="874">K501*T501</f>
        <v>8.3333333333333329E-2</v>
      </c>
      <c r="V501" s="41">
        <f t="shared" ref="V501" si="875">E501/12</f>
        <v>8.3333333333333329E-2</v>
      </c>
      <c r="W501" s="41">
        <f t="shared" ref="W501" si="876">K501*V501</f>
        <v>8.3333333333333329E-2</v>
      </c>
      <c r="X501" s="43">
        <f t="shared" ref="X501" si="877">E501/12</f>
        <v>8.3333333333333329E-2</v>
      </c>
      <c r="Y501" s="41">
        <f t="shared" ref="Y501" si="878">K501*X501</f>
        <v>8.3333333333333329E-2</v>
      </c>
      <c r="Z501" s="43">
        <f t="shared" ref="Z501" si="879">E501/12</f>
        <v>8.3333333333333329E-2</v>
      </c>
      <c r="AA501" s="41">
        <f t="shared" ref="AA501" si="880">K501*Z501</f>
        <v>8.3333333333333329E-2</v>
      </c>
      <c r="AB501" s="43">
        <f t="shared" ref="AB501" si="881">E501/12</f>
        <v>8.3333333333333329E-2</v>
      </c>
      <c r="AC501" s="41">
        <f t="shared" ref="AC501" si="882">K501*AB501</f>
        <v>8.3333333333333329E-2</v>
      </c>
      <c r="AD501" s="41">
        <f t="shared" ref="AD501" si="883">E501/12</f>
        <v>8.3333333333333329E-2</v>
      </c>
      <c r="AE501" s="41">
        <f t="shared" ref="AE501" si="884">K501*AD501</f>
        <v>8.3333333333333329E-2</v>
      </c>
      <c r="AF501" s="41">
        <f t="shared" ref="AF501" si="885">E501/12</f>
        <v>8.3333333333333329E-2</v>
      </c>
      <c r="AG501" s="41">
        <f t="shared" ref="AG501" si="886">K501*AF501</f>
        <v>8.3333333333333329E-2</v>
      </c>
      <c r="AH501" s="41">
        <f t="shared" ref="AH501" si="887">E501/12</f>
        <v>8.3333333333333329E-2</v>
      </c>
      <c r="AI501" s="41">
        <f t="shared" ref="AI501" si="888">K501*AH501</f>
        <v>8.3333333333333329E-2</v>
      </c>
      <c r="AJ501" s="41">
        <f t="shared" ref="AJ501" si="889">E501/12</f>
        <v>8.3333333333333329E-2</v>
      </c>
      <c r="AK501" s="41">
        <f t="shared" ref="AK501" si="890">K501*AJ501</f>
        <v>8.3333333333333329E-2</v>
      </c>
      <c r="AL501" s="33">
        <f t="shared" ref="AL501" si="891">O501+Q501+S501+U501+W501+Y501+AA501+AC501+AE501+AG501+AI501+AK501</f>
        <v>1</v>
      </c>
    </row>
    <row r="502" spans="2:38" x14ac:dyDescent="0.25">
      <c r="B502" s="19">
        <v>33604</v>
      </c>
      <c r="C502" s="19"/>
      <c r="D502" s="19"/>
      <c r="E502" s="19"/>
      <c r="F502" s="19"/>
      <c r="G502" s="58"/>
      <c r="H502" s="68"/>
      <c r="I502" s="145"/>
      <c r="J502" s="146"/>
      <c r="K502" s="20"/>
      <c r="L502" s="21">
        <f>SUM(L503:L511)</f>
        <v>25639.34</v>
      </c>
      <c r="M502" s="60">
        <v>60000</v>
      </c>
      <c r="N502" s="41"/>
      <c r="O502" s="41"/>
      <c r="P502" s="41"/>
      <c r="Q502" s="41"/>
      <c r="R502" s="41"/>
      <c r="S502" s="41"/>
      <c r="T502" s="43"/>
      <c r="U502" s="41"/>
      <c r="V502" s="41"/>
      <c r="W502" s="41"/>
      <c r="X502" s="43"/>
      <c r="Y502" s="41"/>
      <c r="Z502" s="43"/>
      <c r="AA502" s="41"/>
      <c r="AB502" s="43"/>
      <c r="AC502" s="41"/>
      <c r="AD502" s="41"/>
      <c r="AE502" s="41"/>
      <c r="AF502" s="41"/>
      <c r="AG502" s="41"/>
      <c r="AH502" s="41"/>
      <c r="AI502" s="41"/>
      <c r="AJ502" s="41"/>
      <c r="AK502" s="41"/>
      <c r="AL502" s="33"/>
    </row>
    <row r="503" spans="2:38" ht="57.75" x14ac:dyDescent="0.25">
      <c r="B503" s="49">
        <v>33604</v>
      </c>
      <c r="C503" s="49" t="s">
        <v>410</v>
      </c>
      <c r="D503" s="49">
        <v>0</v>
      </c>
      <c r="E503" s="49">
        <v>1</v>
      </c>
      <c r="F503" s="49" t="s">
        <v>409</v>
      </c>
      <c r="G503" s="64" t="s">
        <v>411</v>
      </c>
      <c r="H503" s="28" t="s">
        <v>43</v>
      </c>
      <c r="I503" s="143" t="s">
        <v>44</v>
      </c>
      <c r="J503" s="144"/>
      <c r="K503" s="50">
        <v>1200</v>
      </c>
      <c r="L503" s="50">
        <f t="shared" ref="L503:L511" si="892">E503*K503</f>
        <v>1200</v>
      </c>
      <c r="N503" s="41">
        <f t="shared" ref="N503:N511" si="893">E503/12</f>
        <v>8.3333333333333329E-2</v>
      </c>
      <c r="O503" s="41">
        <f t="shared" ref="O503:O511" si="894">N503*K503</f>
        <v>100</v>
      </c>
      <c r="P503" s="41">
        <f t="shared" ref="P503:P511" si="895">E503/12</f>
        <v>8.3333333333333329E-2</v>
      </c>
      <c r="Q503" s="41">
        <f t="shared" ref="Q503:Q511" si="896">K503*P503</f>
        <v>100</v>
      </c>
      <c r="R503" s="41">
        <f t="shared" ref="R503:R511" si="897">E503/12</f>
        <v>8.3333333333333329E-2</v>
      </c>
      <c r="S503" s="41">
        <f t="shared" ref="S503:S511" si="898">K503*R503</f>
        <v>100</v>
      </c>
      <c r="T503" s="43">
        <f t="shared" ref="T503:T511" si="899">E503/12</f>
        <v>8.3333333333333329E-2</v>
      </c>
      <c r="U503" s="41">
        <f t="shared" ref="U503:U511" si="900">K503*T503</f>
        <v>100</v>
      </c>
      <c r="V503" s="41">
        <f t="shared" ref="V503:V511" si="901">E503/12</f>
        <v>8.3333333333333329E-2</v>
      </c>
      <c r="W503" s="41">
        <f t="shared" ref="W503:W511" si="902">K503*V503</f>
        <v>100</v>
      </c>
      <c r="X503" s="43">
        <f t="shared" ref="X503:X511" si="903">E503/12</f>
        <v>8.3333333333333329E-2</v>
      </c>
      <c r="Y503" s="41">
        <f t="shared" ref="Y503:Y511" si="904">K503*X503</f>
        <v>100</v>
      </c>
      <c r="Z503" s="43">
        <f t="shared" ref="Z503:Z511" si="905">E503/12</f>
        <v>8.3333333333333329E-2</v>
      </c>
      <c r="AA503" s="41">
        <f t="shared" ref="AA503:AA511" si="906">K503*Z503</f>
        <v>100</v>
      </c>
      <c r="AB503" s="43">
        <f t="shared" ref="AB503:AB511" si="907">E503/12</f>
        <v>8.3333333333333329E-2</v>
      </c>
      <c r="AC503" s="41">
        <f t="shared" ref="AC503:AC511" si="908">K503*AB503</f>
        <v>100</v>
      </c>
      <c r="AD503" s="41">
        <f t="shared" ref="AD503:AD511" si="909">E503/12</f>
        <v>8.3333333333333329E-2</v>
      </c>
      <c r="AE503" s="41">
        <f t="shared" ref="AE503:AE511" si="910">K503*AD503</f>
        <v>100</v>
      </c>
      <c r="AF503" s="41">
        <f t="shared" ref="AF503:AF511" si="911">E503/12</f>
        <v>8.3333333333333329E-2</v>
      </c>
      <c r="AG503" s="41">
        <f t="shared" ref="AG503:AG511" si="912">K503*AF503</f>
        <v>100</v>
      </c>
      <c r="AH503" s="41">
        <f t="shared" ref="AH503:AH511" si="913">E503/12</f>
        <v>8.3333333333333329E-2</v>
      </c>
      <c r="AI503" s="41">
        <f t="shared" ref="AI503:AI511" si="914">K503*AH503</f>
        <v>100</v>
      </c>
      <c r="AJ503" s="41">
        <f t="shared" ref="AJ503:AJ511" si="915">E503/12</f>
        <v>8.3333333333333329E-2</v>
      </c>
      <c r="AK503" s="41">
        <f t="shared" ref="AK503:AK511" si="916">K503*AJ503</f>
        <v>100</v>
      </c>
      <c r="AL503" s="33">
        <f t="shared" si="367"/>
        <v>1200</v>
      </c>
    </row>
    <row r="504" spans="2:38" ht="57.75" x14ac:dyDescent="0.25">
      <c r="B504" s="49">
        <v>33604</v>
      </c>
      <c r="C504" s="49" t="s">
        <v>412</v>
      </c>
      <c r="D504" s="49">
        <v>0</v>
      </c>
      <c r="E504" s="49">
        <v>2</v>
      </c>
      <c r="F504" s="49" t="s">
        <v>409</v>
      </c>
      <c r="G504" s="64" t="s">
        <v>411</v>
      </c>
      <c r="H504" s="28" t="s">
        <v>43</v>
      </c>
      <c r="I504" s="143" t="s">
        <v>44</v>
      </c>
      <c r="J504" s="144"/>
      <c r="K504" s="50">
        <v>500</v>
      </c>
      <c r="L504" s="50">
        <f t="shared" si="892"/>
        <v>1000</v>
      </c>
      <c r="N504" s="41">
        <f t="shared" si="893"/>
        <v>0.16666666666666666</v>
      </c>
      <c r="O504" s="41">
        <f t="shared" si="894"/>
        <v>83.333333333333329</v>
      </c>
      <c r="P504" s="41">
        <f t="shared" si="895"/>
        <v>0.16666666666666666</v>
      </c>
      <c r="Q504" s="41">
        <f t="shared" si="896"/>
        <v>83.333333333333329</v>
      </c>
      <c r="R504" s="41">
        <f t="shared" si="897"/>
        <v>0.16666666666666666</v>
      </c>
      <c r="S504" s="41">
        <f t="shared" si="898"/>
        <v>83.333333333333329</v>
      </c>
      <c r="T504" s="43">
        <f t="shared" si="899"/>
        <v>0.16666666666666666</v>
      </c>
      <c r="U504" s="41">
        <f t="shared" si="900"/>
        <v>83.333333333333329</v>
      </c>
      <c r="V504" s="41">
        <f t="shared" si="901"/>
        <v>0.16666666666666666</v>
      </c>
      <c r="W504" s="41">
        <f t="shared" si="902"/>
        <v>83.333333333333329</v>
      </c>
      <c r="X504" s="43">
        <f t="shared" si="903"/>
        <v>0.16666666666666666</v>
      </c>
      <c r="Y504" s="41">
        <f t="shared" si="904"/>
        <v>83.333333333333329</v>
      </c>
      <c r="Z504" s="43">
        <f t="shared" si="905"/>
        <v>0.16666666666666666</v>
      </c>
      <c r="AA504" s="41">
        <f t="shared" si="906"/>
        <v>83.333333333333329</v>
      </c>
      <c r="AB504" s="43">
        <f t="shared" si="907"/>
        <v>0.16666666666666666</v>
      </c>
      <c r="AC504" s="41">
        <f t="shared" si="908"/>
        <v>83.333333333333329</v>
      </c>
      <c r="AD504" s="41">
        <f t="shared" si="909"/>
        <v>0.16666666666666666</v>
      </c>
      <c r="AE504" s="41">
        <f t="shared" si="910"/>
        <v>83.333333333333329</v>
      </c>
      <c r="AF504" s="41">
        <f t="shared" si="911"/>
        <v>0.16666666666666666</v>
      </c>
      <c r="AG504" s="41">
        <f t="shared" si="912"/>
        <v>83.333333333333329</v>
      </c>
      <c r="AH504" s="41">
        <f t="shared" si="913"/>
        <v>0.16666666666666666</v>
      </c>
      <c r="AI504" s="41">
        <f t="shared" si="914"/>
        <v>83.333333333333329</v>
      </c>
      <c r="AJ504" s="41">
        <f t="shared" si="915"/>
        <v>0.16666666666666666</v>
      </c>
      <c r="AK504" s="41">
        <f t="shared" si="916"/>
        <v>83.333333333333329</v>
      </c>
      <c r="AL504" s="33">
        <f t="shared" si="367"/>
        <v>1000.0000000000001</v>
      </c>
    </row>
    <row r="505" spans="2:38" ht="57.75" x14ac:dyDescent="0.25">
      <c r="B505" s="49">
        <v>33604</v>
      </c>
      <c r="C505" s="49" t="s">
        <v>413</v>
      </c>
      <c r="D505" s="49">
        <v>0</v>
      </c>
      <c r="E505" s="49">
        <v>1</v>
      </c>
      <c r="F505" s="49" t="s">
        <v>189</v>
      </c>
      <c r="G505" s="64" t="s">
        <v>411</v>
      </c>
      <c r="H505" s="28" t="s">
        <v>43</v>
      </c>
      <c r="I505" s="143" t="s">
        <v>44</v>
      </c>
      <c r="J505" s="144"/>
      <c r="K505" s="50">
        <v>415.5</v>
      </c>
      <c r="L505" s="50">
        <f t="shared" si="892"/>
        <v>415.5</v>
      </c>
      <c r="N505" s="41">
        <f t="shared" si="893"/>
        <v>8.3333333333333329E-2</v>
      </c>
      <c r="O505" s="41">
        <f t="shared" si="894"/>
        <v>34.625</v>
      </c>
      <c r="P505" s="41">
        <f t="shared" si="895"/>
        <v>8.3333333333333329E-2</v>
      </c>
      <c r="Q505" s="41">
        <f t="shared" si="896"/>
        <v>34.625</v>
      </c>
      <c r="R505" s="41">
        <f t="shared" si="897"/>
        <v>8.3333333333333329E-2</v>
      </c>
      <c r="S505" s="41">
        <f t="shared" si="898"/>
        <v>34.625</v>
      </c>
      <c r="T505" s="43">
        <f t="shared" si="899"/>
        <v>8.3333333333333329E-2</v>
      </c>
      <c r="U505" s="41">
        <f t="shared" si="900"/>
        <v>34.625</v>
      </c>
      <c r="V505" s="41">
        <f t="shared" si="901"/>
        <v>8.3333333333333329E-2</v>
      </c>
      <c r="W505" s="41">
        <f t="shared" si="902"/>
        <v>34.625</v>
      </c>
      <c r="X505" s="43">
        <f t="shared" si="903"/>
        <v>8.3333333333333329E-2</v>
      </c>
      <c r="Y505" s="41">
        <f t="shared" si="904"/>
        <v>34.625</v>
      </c>
      <c r="Z505" s="43">
        <f t="shared" si="905"/>
        <v>8.3333333333333329E-2</v>
      </c>
      <c r="AA505" s="41">
        <f t="shared" si="906"/>
        <v>34.625</v>
      </c>
      <c r="AB505" s="43">
        <f t="shared" si="907"/>
        <v>8.3333333333333329E-2</v>
      </c>
      <c r="AC505" s="41">
        <f t="shared" si="908"/>
        <v>34.625</v>
      </c>
      <c r="AD505" s="41">
        <f t="shared" si="909"/>
        <v>8.3333333333333329E-2</v>
      </c>
      <c r="AE505" s="41">
        <f t="shared" si="910"/>
        <v>34.625</v>
      </c>
      <c r="AF505" s="41">
        <f t="shared" si="911"/>
        <v>8.3333333333333329E-2</v>
      </c>
      <c r="AG505" s="41">
        <f t="shared" si="912"/>
        <v>34.625</v>
      </c>
      <c r="AH505" s="41">
        <f t="shared" si="913"/>
        <v>8.3333333333333329E-2</v>
      </c>
      <c r="AI505" s="41">
        <f t="shared" si="914"/>
        <v>34.625</v>
      </c>
      <c r="AJ505" s="41">
        <f t="shared" si="915"/>
        <v>8.3333333333333329E-2</v>
      </c>
      <c r="AK505" s="41">
        <f t="shared" si="916"/>
        <v>34.625</v>
      </c>
      <c r="AL505" s="33">
        <f t="shared" si="367"/>
        <v>415.5</v>
      </c>
    </row>
    <row r="506" spans="2:38" ht="57.75" x14ac:dyDescent="0.25">
      <c r="B506" s="49">
        <v>33604</v>
      </c>
      <c r="C506" s="49" t="s">
        <v>414</v>
      </c>
      <c r="D506" s="49">
        <v>0</v>
      </c>
      <c r="E506" s="49">
        <v>150</v>
      </c>
      <c r="F506" s="49" t="s">
        <v>189</v>
      </c>
      <c r="G506" s="64" t="s">
        <v>411</v>
      </c>
      <c r="H506" s="28" t="s">
        <v>43</v>
      </c>
      <c r="I506" s="143" t="s">
        <v>44</v>
      </c>
      <c r="J506" s="144"/>
      <c r="K506" s="50">
        <v>90</v>
      </c>
      <c r="L506" s="50">
        <f t="shared" si="892"/>
        <v>13500</v>
      </c>
      <c r="N506" s="41">
        <f t="shared" si="893"/>
        <v>12.5</v>
      </c>
      <c r="O506" s="41">
        <f t="shared" si="894"/>
        <v>1125</v>
      </c>
      <c r="P506" s="41">
        <f t="shared" si="895"/>
        <v>12.5</v>
      </c>
      <c r="Q506" s="41">
        <f t="shared" si="896"/>
        <v>1125</v>
      </c>
      <c r="R506" s="41">
        <f t="shared" si="897"/>
        <v>12.5</v>
      </c>
      <c r="S506" s="41">
        <f t="shared" si="898"/>
        <v>1125</v>
      </c>
      <c r="T506" s="43">
        <f t="shared" si="899"/>
        <v>12.5</v>
      </c>
      <c r="U506" s="41">
        <f t="shared" si="900"/>
        <v>1125</v>
      </c>
      <c r="V506" s="41">
        <f t="shared" si="901"/>
        <v>12.5</v>
      </c>
      <c r="W506" s="41">
        <f t="shared" si="902"/>
        <v>1125</v>
      </c>
      <c r="X506" s="43">
        <f t="shared" si="903"/>
        <v>12.5</v>
      </c>
      <c r="Y506" s="41">
        <f t="shared" si="904"/>
        <v>1125</v>
      </c>
      <c r="Z506" s="43">
        <f t="shared" si="905"/>
        <v>12.5</v>
      </c>
      <c r="AA506" s="41">
        <f t="shared" si="906"/>
        <v>1125</v>
      </c>
      <c r="AB506" s="43">
        <f t="shared" si="907"/>
        <v>12.5</v>
      </c>
      <c r="AC506" s="41">
        <f t="shared" si="908"/>
        <v>1125</v>
      </c>
      <c r="AD506" s="41">
        <f t="shared" si="909"/>
        <v>12.5</v>
      </c>
      <c r="AE506" s="41">
        <f t="shared" si="910"/>
        <v>1125</v>
      </c>
      <c r="AF506" s="41">
        <f t="shared" si="911"/>
        <v>12.5</v>
      </c>
      <c r="AG506" s="41">
        <f t="shared" si="912"/>
        <v>1125</v>
      </c>
      <c r="AH506" s="41">
        <f t="shared" si="913"/>
        <v>12.5</v>
      </c>
      <c r="AI506" s="41">
        <f t="shared" si="914"/>
        <v>1125</v>
      </c>
      <c r="AJ506" s="41">
        <f t="shared" si="915"/>
        <v>12.5</v>
      </c>
      <c r="AK506" s="41">
        <f t="shared" si="916"/>
        <v>1125</v>
      </c>
      <c r="AL506" s="33">
        <f t="shared" si="367"/>
        <v>13500</v>
      </c>
    </row>
    <row r="507" spans="2:38" ht="57.75" x14ac:dyDescent="0.25">
      <c r="B507" s="49">
        <v>33604</v>
      </c>
      <c r="C507" s="49" t="s">
        <v>415</v>
      </c>
      <c r="D507" s="49">
        <v>0</v>
      </c>
      <c r="E507" s="49">
        <v>25</v>
      </c>
      <c r="F507" s="49" t="s">
        <v>409</v>
      </c>
      <c r="G507" s="64" t="s">
        <v>416</v>
      </c>
      <c r="H507" s="28" t="s">
        <v>43</v>
      </c>
      <c r="I507" s="143" t="s">
        <v>44</v>
      </c>
      <c r="J507" s="144"/>
      <c r="K507" s="50">
        <v>30</v>
      </c>
      <c r="L507" s="50">
        <f t="shared" si="892"/>
        <v>750</v>
      </c>
      <c r="N507" s="41">
        <f t="shared" si="893"/>
        <v>2.0833333333333335</v>
      </c>
      <c r="O507" s="41">
        <f t="shared" si="894"/>
        <v>62.500000000000007</v>
      </c>
      <c r="P507" s="41">
        <f t="shared" si="895"/>
        <v>2.0833333333333335</v>
      </c>
      <c r="Q507" s="41">
        <f t="shared" si="896"/>
        <v>62.500000000000007</v>
      </c>
      <c r="R507" s="41">
        <f t="shared" si="897"/>
        <v>2.0833333333333335</v>
      </c>
      <c r="S507" s="41">
        <f t="shared" si="898"/>
        <v>62.500000000000007</v>
      </c>
      <c r="T507" s="43">
        <f t="shared" si="899"/>
        <v>2.0833333333333335</v>
      </c>
      <c r="U507" s="41">
        <f t="shared" si="900"/>
        <v>62.500000000000007</v>
      </c>
      <c r="V507" s="41">
        <f t="shared" si="901"/>
        <v>2.0833333333333335</v>
      </c>
      <c r="W507" s="41">
        <f t="shared" si="902"/>
        <v>62.500000000000007</v>
      </c>
      <c r="X507" s="43">
        <f t="shared" si="903"/>
        <v>2.0833333333333335</v>
      </c>
      <c r="Y507" s="41">
        <f t="shared" si="904"/>
        <v>62.500000000000007</v>
      </c>
      <c r="Z507" s="43">
        <f t="shared" si="905"/>
        <v>2.0833333333333335</v>
      </c>
      <c r="AA507" s="41">
        <f t="shared" si="906"/>
        <v>62.500000000000007</v>
      </c>
      <c r="AB507" s="43">
        <f t="shared" si="907"/>
        <v>2.0833333333333335</v>
      </c>
      <c r="AC507" s="41">
        <f t="shared" si="908"/>
        <v>62.500000000000007</v>
      </c>
      <c r="AD507" s="41">
        <f t="shared" si="909"/>
        <v>2.0833333333333335</v>
      </c>
      <c r="AE507" s="41">
        <f t="shared" si="910"/>
        <v>62.500000000000007</v>
      </c>
      <c r="AF507" s="41">
        <f t="shared" si="911"/>
        <v>2.0833333333333335</v>
      </c>
      <c r="AG507" s="41">
        <f t="shared" si="912"/>
        <v>62.500000000000007</v>
      </c>
      <c r="AH507" s="41">
        <f t="shared" si="913"/>
        <v>2.0833333333333335</v>
      </c>
      <c r="AI507" s="41">
        <f t="shared" si="914"/>
        <v>62.500000000000007</v>
      </c>
      <c r="AJ507" s="41">
        <f t="shared" si="915"/>
        <v>2.0833333333333335</v>
      </c>
      <c r="AK507" s="41">
        <f t="shared" si="916"/>
        <v>62.500000000000007</v>
      </c>
      <c r="AL507" s="33">
        <f t="shared" si="367"/>
        <v>750.00000000000011</v>
      </c>
    </row>
    <row r="508" spans="2:38" ht="57.75" x14ac:dyDescent="0.25">
      <c r="B508" s="49">
        <v>33604</v>
      </c>
      <c r="C508" s="49" t="s">
        <v>417</v>
      </c>
      <c r="D508" s="49">
        <v>0</v>
      </c>
      <c r="E508" s="49">
        <v>1</v>
      </c>
      <c r="F508" s="49" t="s">
        <v>409</v>
      </c>
      <c r="G508" s="64" t="s">
        <v>416</v>
      </c>
      <c r="H508" s="28" t="s">
        <v>43</v>
      </c>
      <c r="I508" s="143" t="s">
        <v>44</v>
      </c>
      <c r="J508" s="144"/>
      <c r="K508" s="50">
        <f>2233.84+5</f>
        <v>2238.84</v>
      </c>
      <c r="L508" s="50">
        <f t="shared" si="892"/>
        <v>2238.84</v>
      </c>
      <c r="N508" s="41">
        <f t="shared" si="893"/>
        <v>8.3333333333333329E-2</v>
      </c>
      <c r="O508" s="41">
        <f t="shared" si="894"/>
        <v>186.57</v>
      </c>
      <c r="P508" s="41">
        <f t="shared" si="895"/>
        <v>8.3333333333333329E-2</v>
      </c>
      <c r="Q508" s="41">
        <f t="shared" si="896"/>
        <v>186.57</v>
      </c>
      <c r="R508" s="41">
        <f t="shared" si="897"/>
        <v>8.3333333333333329E-2</v>
      </c>
      <c r="S508" s="41">
        <f t="shared" si="898"/>
        <v>186.57</v>
      </c>
      <c r="T508" s="43">
        <f t="shared" si="899"/>
        <v>8.3333333333333329E-2</v>
      </c>
      <c r="U508" s="41">
        <f t="shared" si="900"/>
        <v>186.57</v>
      </c>
      <c r="V508" s="41">
        <f t="shared" si="901"/>
        <v>8.3333333333333329E-2</v>
      </c>
      <c r="W508" s="41">
        <f t="shared" si="902"/>
        <v>186.57</v>
      </c>
      <c r="X508" s="43">
        <f t="shared" si="903"/>
        <v>8.3333333333333329E-2</v>
      </c>
      <c r="Y508" s="41">
        <f t="shared" si="904"/>
        <v>186.57</v>
      </c>
      <c r="Z508" s="43">
        <f t="shared" si="905"/>
        <v>8.3333333333333329E-2</v>
      </c>
      <c r="AA508" s="41">
        <f t="shared" si="906"/>
        <v>186.57</v>
      </c>
      <c r="AB508" s="43">
        <f t="shared" si="907"/>
        <v>8.3333333333333329E-2</v>
      </c>
      <c r="AC508" s="41">
        <f t="shared" si="908"/>
        <v>186.57</v>
      </c>
      <c r="AD508" s="41">
        <f t="shared" si="909"/>
        <v>8.3333333333333329E-2</v>
      </c>
      <c r="AE508" s="41">
        <f t="shared" si="910"/>
        <v>186.57</v>
      </c>
      <c r="AF508" s="41">
        <f t="shared" si="911"/>
        <v>8.3333333333333329E-2</v>
      </c>
      <c r="AG508" s="41">
        <f t="shared" si="912"/>
        <v>186.57</v>
      </c>
      <c r="AH508" s="41">
        <f t="shared" si="913"/>
        <v>8.3333333333333329E-2</v>
      </c>
      <c r="AI508" s="41">
        <f t="shared" si="914"/>
        <v>186.57</v>
      </c>
      <c r="AJ508" s="41">
        <f t="shared" si="915"/>
        <v>8.3333333333333329E-2</v>
      </c>
      <c r="AK508" s="41">
        <f t="shared" si="916"/>
        <v>186.57</v>
      </c>
      <c r="AL508" s="33">
        <f t="shared" si="367"/>
        <v>2238.8399999999997</v>
      </c>
    </row>
    <row r="509" spans="2:38" ht="57.75" x14ac:dyDescent="0.25">
      <c r="B509" s="49">
        <v>33604</v>
      </c>
      <c r="C509" s="49" t="s">
        <v>418</v>
      </c>
      <c r="D509" s="49">
        <v>0</v>
      </c>
      <c r="E509" s="49">
        <v>2</v>
      </c>
      <c r="F509" s="49" t="s">
        <v>409</v>
      </c>
      <c r="G509" s="64" t="s">
        <v>419</v>
      </c>
      <c r="H509" s="28" t="s">
        <v>43</v>
      </c>
      <c r="I509" s="143" t="s">
        <v>44</v>
      </c>
      <c r="J509" s="144"/>
      <c r="K509" s="50">
        <v>2630</v>
      </c>
      <c r="L509" s="50">
        <f t="shared" si="892"/>
        <v>5260</v>
      </c>
      <c r="N509" s="41">
        <f t="shared" si="893"/>
        <v>0.16666666666666666</v>
      </c>
      <c r="O509" s="41">
        <f t="shared" si="894"/>
        <v>438.33333333333331</v>
      </c>
      <c r="P509" s="41">
        <f t="shared" si="895"/>
        <v>0.16666666666666666</v>
      </c>
      <c r="Q509" s="41">
        <f t="shared" si="896"/>
        <v>438.33333333333331</v>
      </c>
      <c r="R509" s="41">
        <f t="shared" si="897"/>
        <v>0.16666666666666666</v>
      </c>
      <c r="S509" s="41">
        <f t="shared" si="898"/>
        <v>438.33333333333331</v>
      </c>
      <c r="T509" s="43">
        <f t="shared" si="899"/>
        <v>0.16666666666666666</v>
      </c>
      <c r="U509" s="41">
        <f t="shared" si="900"/>
        <v>438.33333333333331</v>
      </c>
      <c r="V509" s="41">
        <f t="shared" si="901"/>
        <v>0.16666666666666666</v>
      </c>
      <c r="W509" s="41">
        <f t="shared" si="902"/>
        <v>438.33333333333331</v>
      </c>
      <c r="X509" s="43">
        <f t="shared" si="903"/>
        <v>0.16666666666666666</v>
      </c>
      <c r="Y509" s="41">
        <f t="shared" si="904"/>
        <v>438.33333333333331</v>
      </c>
      <c r="Z509" s="43">
        <f t="shared" si="905"/>
        <v>0.16666666666666666</v>
      </c>
      <c r="AA509" s="41">
        <f t="shared" si="906"/>
        <v>438.33333333333331</v>
      </c>
      <c r="AB509" s="43">
        <f t="shared" si="907"/>
        <v>0.16666666666666666</v>
      </c>
      <c r="AC509" s="41">
        <f t="shared" si="908"/>
        <v>438.33333333333331</v>
      </c>
      <c r="AD509" s="41">
        <f t="shared" si="909"/>
        <v>0.16666666666666666</v>
      </c>
      <c r="AE509" s="41">
        <f t="shared" si="910"/>
        <v>438.33333333333331</v>
      </c>
      <c r="AF509" s="41">
        <f t="shared" si="911"/>
        <v>0.16666666666666666</v>
      </c>
      <c r="AG509" s="41">
        <f t="shared" si="912"/>
        <v>438.33333333333331</v>
      </c>
      <c r="AH509" s="41">
        <f t="shared" si="913"/>
        <v>0.16666666666666666</v>
      </c>
      <c r="AI509" s="41">
        <f t="shared" si="914"/>
        <v>438.33333333333331</v>
      </c>
      <c r="AJ509" s="41">
        <f t="shared" si="915"/>
        <v>0.16666666666666666</v>
      </c>
      <c r="AK509" s="41">
        <f t="shared" si="916"/>
        <v>438.33333333333331</v>
      </c>
      <c r="AL509" s="33">
        <f t="shared" si="367"/>
        <v>5260</v>
      </c>
    </row>
    <row r="510" spans="2:38" ht="57.75" x14ac:dyDescent="0.25">
      <c r="B510" s="49">
        <v>33604</v>
      </c>
      <c r="C510" s="49" t="s">
        <v>420</v>
      </c>
      <c r="D510" s="49">
        <v>0</v>
      </c>
      <c r="E510" s="49">
        <v>25</v>
      </c>
      <c r="F510" s="49" t="s">
        <v>409</v>
      </c>
      <c r="G510" s="64" t="s">
        <v>419</v>
      </c>
      <c r="H510" s="28" t="s">
        <v>43</v>
      </c>
      <c r="I510" s="143" t="s">
        <v>44</v>
      </c>
      <c r="J510" s="144"/>
      <c r="K510" s="50">
        <v>26</v>
      </c>
      <c r="L510" s="50">
        <f t="shared" si="892"/>
        <v>650</v>
      </c>
      <c r="N510" s="41">
        <f t="shared" si="893"/>
        <v>2.0833333333333335</v>
      </c>
      <c r="O510" s="41">
        <f t="shared" si="894"/>
        <v>54.166666666666671</v>
      </c>
      <c r="P510" s="41">
        <f t="shared" si="895"/>
        <v>2.0833333333333335</v>
      </c>
      <c r="Q510" s="41">
        <f t="shared" si="896"/>
        <v>54.166666666666671</v>
      </c>
      <c r="R510" s="41">
        <f t="shared" si="897"/>
        <v>2.0833333333333335</v>
      </c>
      <c r="S510" s="41">
        <f t="shared" si="898"/>
        <v>54.166666666666671</v>
      </c>
      <c r="T510" s="43">
        <f t="shared" si="899"/>
        <v>2.0833333333333335</v>
      </c>
      <c r="U510" s="41">
        <f t="shared" si="900"/>
        <v>54.166666666666671</v>
      </c>
      <c r="V510" s="41">
        <f t="shared" si="901"/>
        <v>2.0833333333333335</v>
      </c>
      <c r="W510" s="41">
        <f t="shared" si="902"/>
        <v>54.166666666666671</v>
      </c>
      <c r="X510" s="43">
        <f t="shared" si="903"/>
        <v>2.0833333333333335</v>
      </c>
      <c r="Y510" s="41">
        <f t="shared" si="904"/>
        <v>54.166666666666671</v>
      </c>
      <c r="Z510" s="43">
        <f t="shared" si="905"/>
        <v>2.0833333333333335</v>
      </c>
      <c r="AA510" s="41">
        <f t="shared" si="906"/>
        <v>54.166666666666671</v>
      </c>
      <c r="AB510" s="43">
        <f t="shared" si="907"/>
        <v>2.0833333333333335</v>
      </c>
      <c r="AC510" s="41">
        <f t="shared" si="908"/>
        <v>54.166666666666671</v>
      </c>
      <c r="AD510" s="41">
        <f t="shared" si="909"/>
        <v>2.0833333333333335</v>
      </c>
      <c r="AE510" s="41">
        <f t="shared" si="910"/>
        <v>54.166666666666671</v>
      </c>
      <c r="AF510" s="41">
        <f t="shared" si="911"/>
        <v>2.0833333333333335</v>
      </c>
      <c r="AG510" s="41">
        <f t="shared" si="912"/>
        <v>54.166666666666671</v>
      </c>
      <c r="AH510" s="41">
        <f t="shared" si="913"/>
        <v>2.0833333333333335</v>
      </c>
      <c r="AI510" s="41">
        <f t="shared" si="914"/>
        <v>54.166666666666671</v>
      </c>
      <c r="AJ510" s="41">
        <f t="shared" si="915"/>
        <v>2.0833333333333335</v>
      </c>
      <c r="AK510" s="41">
        <f t="shared" si="916"/>
        <v>54.166666666666671</v>
      </c>
      <c r="AL510" s="33">
        <f t="shared" si="367"/>
        <v>650</v>
      </c>
    </row>
    <row r="511" spans="2:38" ht="57.75" x14ac:dyDescent="0.25">
      <c r="B511" s="49">
        <v>33604</v>
      </c>
      <c r="C511" s="49" t="s">
        <v>421</v>
      </c>
      <c r="D511" s="49">
        <v>0</v>
      </c>
      <c r="E511" s="49">
        <v>25</v>
      </c>
      <c r="F511" s="49" t="s">
        <v>409</v>
      </c>
      <c r="G511" s="64" t="s">
        <v>422</v>
      </c>
      <c r="H511" s="28" t="s">
        <v>43</v>
      </c>
      <c r="I511" s="143" t="s">
        <v>44</v>
      </c>
      <c r="J511" s="144"/>
      <c r="K511" s="50">
        <v>25</v>
      </c>
      <c r="L511" s="50">
        <f t="shared" si="892"/>
        <v>625</v>
      </c>
      <c r="N511" s="41">
        <f t="shared" si="893"/>
        <v>2.0833333333333335</v>
      </c>
      <c r="O511" s="41">
        <f t="shared" si="894"/>
        <v>52.083333333333336</v>
      </c>
      <c r="P511" s="41">
        <f t="shared" si="895"/>
        <v>2.0833333333333335</v>
      </c>
      <c r="Q511" s="41">
        <f t="shared" si="896"/>
        <v>52.083333333333336</v>
      </c>
      <c r="R511" s="41">
        <f t="shared" si="897"/>
        <v>2.0833333333333335</v>
      </c>
      <c r="S511" s="41">
        <f t="shared" si="898"/>
        <v>52.083333333333336</v>
      </c>
      <c r="T511" s="43">
        <f t="shared" si="899"/>
        <v>2.0833333333333335</v>
      </c>
      <c r="U511" s="41">
        <f t="shared" si="900"/>
        <v>52.083333333333336</v>
      </c>
      <c r="V511" s="41">
        <f t="shared" si="901"/>
        <v>2.0833333333333335</v>
      </c>
      <c r="W511" s="41">
        <f t="shared" si="902"/>
        <v>52.083333333333336</v>
      </c>
      <c r="X511" s="43">
        <f t="shared" si="903"/>
        <v>2.0833333333333335</v>
      </c>
      <c r="Y511" s="41">
        <f t="shared" si="904"/>
        <v>52.083333333333336</v>
      </c>
      <c r="Z511" s="43">
        <f t="shared" si="905"/>
        <v>2.0833333333333335</v>
      </c>
      <c r="AA511" s="41">
        <f t="shared" si="906"/>
        <v>52.083333333333336</v>
      </c>
      <c r="AB511" s="43">
        <f t="shared" si="907"/>
        <v>2.0833333333333335</v>
      </c>
      <c r="AC511" s="41">
        <f t="shared" si="908"/>
        <v>52.083333333333336</v>
      </c>
      <c r="AD511" s="41">
        <f t="shared" si="909"/>
        <v>2.0833333333333335</v>
      </c>
      <c r="AE511" s="41">
        <f t="shared" si="910"/>
        <v>52.083333333333336</v>
      </c>
      <c r="AF511" s="41">
        <f t="shared" si="911"/>
        <v>2.0833333333333335</v>
      </c>
      <c r="AG511" s="41">
        <f t="shared" si="912"/>
        <v>52.083333333333336</v>
      </c>
      <c r="AH511" s="41">
        <f t="shared" si="913"/>
        <v>2.0833333333333335</v>
      </c>
      <c r="AI511" s="41">
        <f t="shared" si="914"/>
        <v>52.083333333333336</v>
      </c>
      <c r="AJ511" s="41">
        <f t="shared" si="915"/>
        <v>2.0833333333333335</v>
      </c>
      <c r="AK511" s="41">
        <f t="shared" si="916"/>
        <v>52.083333333333336</v>
      </c>
      <c r="AL511" s="33">
        <f t="shared" si="367"/>
        <v>625</v>
      </c>
    </row>
    <row r="512" spans="2:38" x14ac:dyDescent="0.25">
      <c r="B512" s="19">
        <v>33900</v>
      </c>
      <c r="C512" s="19"/>
      <c r="D512" s="19"/>
      <c r="E512" s="19"/>
      <c r="F512" s="19"/>
      <c r="G512" s="58"/>
      <c r="H512" s="68"/>
      <c r="I512" s="95"/>
      <c r="J512" s="95"/>
      <c r="K512" s="20"/>
      <c r="L512" s="21">
        <f>L513</f>
        <v>6999</v>
      </c>
      <c r="M512" s="60">
        <f>M513</f>
        <v>177501</v>
      </c>
      <c r="N512" s="41"/>
      <c r="O512" s="41"/>
      <c r="P512" s="41"/>
      <c r="Q512" s="41"/>
      <c r="R512" s="41"/>
      <c r="S512" s="41"/>
      <c r="T512" s="43"/>
      <c r="U512" s="41"/>
      <c r="V512" s="41"/>
      <c r="W512" s="41"/>
      <c r="X512" s="43"/>
      <c r="Y512" s="41"/>
      <c r="Z512" s="43"/>
      <c r="AA512" s="41"/>
      <c r="AB512" s="43"/>
      <c r="AC512" s="41"/>
      <c r="AD512" s="41"/>
      <c r="AE512" s="41"/>
      <c r="AF512" s="41"/>
      <c r="AG512" s="41"/>
      <c r="AH512" s="41"/>
      <c r="AI512" s="41"/>
      <c r="AJ512" s="41"/>
      <c r="AK512" s="41"/>
      <c r="AL512" s="33">
        <f t="shared" ref="AL512:AL513" si="917">O512+Q512+S512+U512+W512+Y512+AA512+AC512+AE512+AG512+AI512+AK512</f>
        <v>0</v>
      </c>
    </row>
    <row r="513" spans="2:38" ht="57.75" x14ac:dyDescent="0.25">
      <c r="B513" s="49">
        <v>33903</v>
      </c>
      <c r="C513" s="49" t="s">
        <v>528</v>
      </c>
      <c r="D513" s="49">
        <v>0</v>
      </c>
      <c r="E513" s="49">
        <v>1</v>
      </c>
      <c r="F513" s="49" t="s">
        <v>385</v>
      </c>
      <c r="G513" s="64" t="s">
        <v>89</v>
      </c>
      <c r="H513" s="28" t="s">
        <v>43</v>
      </c>
      <c r="I513" s="143" t="s">
        <v>44</v>
      </c>
      <c r="J513" s="144"/>
      <c r="K513" s="50">
        <v>6999</v>
      </c>
      <c r="L513" s="50">
        <f>E513*K513</f>
        <v>6999</v>
      </c>
      <c r="M513" s="1">
        <v>177501</v>
      </c>
      <c r="N513" s="41">
        <v>0</v>
      </c>
      <c r="O513" s="41">
        <f t="shared" ref="O513" si="918">N513*K513</f>
        <v>0</v>
      </c>
      <c r="P513" s="41">
        <v>0</v>
      </c>
      <c r="Q513" s="41">
        <f t="shared" ref="Q513" si="919">K513*P513</f>
        <v>0</v>
      </c>
      <c r="R513" s="41">
        <v>0</v>
      </c>
      <c r="S513" s="41">
        <f t="shared" ref="S513" si="920">K513*R513</f>
        <v>0</v>
      </c>
      <c r="T513" s="43">
        <v>0</v>
      </c>
      <c r="U513" s="41">
        <f t="shared" ref="U513" si="921">K513*T513</f>
        <v>0</v>
      </c>
      <c r="V513" s="41">
        <v>0</v>
      </c>
      <c r="W513" s="41">
        <f t="shared" ref="W513" si="922">K513*V513</f>
        <v>0</v>
      </c>
      <c r="X513" s="43">
        <v>0</v>
      </c>
      <c r="Y513" s="41">
        <f t="shared" ref="Y513" si="923">K513*X513</f>
        <v>0</v>
      </c>
      <c r="Z513" s="43">
        <v>0</v>
      </c>
      <c r="AA513" s="41">
        <f t="shared" ref="AA513" si="924">K513*Z513</f>
        <v>0</v>
      </c>
      <c r="AB513" s="43">
        <v>0</v>
      </c>
      <c r="AC513" s="41">
        <f t="shared" ref="AC513" si="925">K513*AB513</f>
        <v>0</v>
      </c>
      <c r="AD513" s="41">
        <v>0</v>
      </c>
      <c r="AE513" s="41">
        <f t="shared" ref="AE513" si="926">K513*AD513</f>
        <v>0</v>
      </c>
      <c r="AF513" s="41">
        <v>0</v>
      </c>
      <c r="AG513" s="41">
        <f t="shared" ref="AG513" si="927">K513*AF513</f>
        <v>0</v>
      </c>
      <c r="AH513" s="41">
        <v>1</v>
      </c>
      <c r="AI513" s="41">
        <f t="shared" ref="AI513" si="928">K513*AH513</f>
        <v>6999</v>
      </c>
      <c r="AJ513" s="41">
        <v>0</v>
      </c>
      <c r="AK513" s="41">
        <f t="shared" ref="AK513" si="929">K513*AJ513</f>
        <v>0</v>
      </c>
      <c r="AL513" s="33">
        <f t="shared" si="917"/>
        <v>6999</v>
      </c>
    </row>
    <row r="514" spans="2:38" x14ac:dyDescent="0.25">
      <c r="B514" s="19">
        <v>34000</v>
      </c>
      <c r="C514" s="19"/>
      <c r="D514" s="19"/>
      <c r="E514" s="19"/>
      <c r="F514" s="19"/>
      <c r="G514" s="58"/>
      <c r="H514" s="59"/>
      <c r="I514" s="95"/>
      <c r="J514" s="95"/>
      <c r="K514" s="20"/>
      <c r="L514" s="21">
        <f>L515+L517</f>
        <v>213488.99</v>
      </c>
      <c r="M514" s="60" t="e">
        <f>#REF!+M515</f>
        <v>#REF!</v>
      </c>
      <c r="N514" s="41"/>
      <c r="O514" s="41"/>
      <c r="P514" s="41"/>
      <c r="Q514" s="41"/>
      <c r="R514" s="41"/>
      <c r="S514" s="41"/>
      <c r="T514" s="43"/>
      <c r="U514" s="41"/>
      <c r="V514" s="41"/>
      <c r="W514" s="41"/>
      <c r="X514" s="43"/>
      <c r="Y514" s="41"/>
      <c r="Z514" s="43"/>
      <c r="AA514" s="41"/>
      <c r="AB514" s="43"/>
      <c r="AC514" s="41"/>
      <c r="AD514" s="41"/>
      <c r="AE514" s="41"/>
      <c r="AF514" s="41"/>
      <c r="AG514" s="41"/>
      <c r="AH514" s="41"/>
      <c r="AI514" s="41"/>
      <c r="AJ514" s="41"/>
      <c r="AK514" s="41"/>
      <c r="AL514" s="33">
        <f t="shared" si="367"/>
        <v>0</v>
      </c>
    </row>
    <row r="515" spans="2:38" x14ac:dyDescent="0.25">
      <c r="B515" s="19">
        <v>34500</v>
      </c>
      <c r="C515" s="19"/>
      <c r="D515" s="19"/>
      <c r="E515" s="19"/>
      <c r="F515" s="19"/>
      <c r="G515" s="58"/>
      <c r="H515" s="68"/>
      <c r="I515" s="95"/>
      <c r="J515" s="95"/>
      <c r="K515" s="20"/>
      <c r="L515" s="21">
        <f>L516</f>
        <v>212729.53</v>
      </c>
      <c r="M515" s="60">
        <f>M516</f>
        <v>177501</v>
      </c>
      <c r="N515" s="41"/>
      <c r="O515" s="41"/>
      <c r="P515" s="41"/>
      <c r="Q515" s="41"/>
      <c r="R515" s="41"/>
      <c r="S515" s="41"/>
      <c r="T515" s="43"/>
      <c r="U515" s="41"/>
      <c r="V515" s="41"/>
      <c r="W515" s="41"/>
      <c r="X515" s="43"/>
      <c r="Y515" s="41"/>
      <c r="Z515" s="43"/>
      <c r="AA515" s="41"/>
      <c r="AB515" s="43"/>
      <c r="AC515" s="41"/>
      <c r="AD515" s="41"/>
      <c r="AE515" s="41"/>
      <c r="AF515" s="41"/>
      <c r="AG515" s="41"/>
      <c r="AH515" s="41"/>
      <c r="AI515" s="41"/>
      <c r="AJ515" s="41"/>
      <c r="AK515" s="41"/>
      <c r="AL515" s="33">
        <f t="shared" si="367"/>
        <v>0</v>
      </c>
    </row>
    <row r="516" spans="2:38" ht="57.75" x14ac:dyDescent="0.25">
      <c r="B516" s="49">
        <v>34501</v>
      </c>
      <c r="C516" s="49" t="s">
        <v>423</v>
      </c>
      <c r="D516" s="49">
        <v>0</v>
      </c>
      <c r="E516" s="49">
        <v>1</v>
      </c>
      <c r="F516" s="49" t="s">
        <v>385</v>
      </c>
      <c r="G516" s="64" t="s">
        <v>89</v>
      </c>
      <c r="H516" s="28" t="s">
        <v>43</v>
      </c>
      <c r="I516" s="143" t="s">
        <v>44</v>
      </c>
      <c r="J516" s="144"/>
      <c r="K516" s="50">
        <v>212729.53</v>
      </c>
      <c r="L516" s="50">
        <f>E516*K516</f>
        <v>212729.53</v>
      </c>
      <c r="M516" s="1">
        <v>177501</v>
      </c>
      <c r="N516" s="41">
        <v>0</v>
      </c>
      <c r="O516" s="41">
        <f t="shared" ref="O516" si="930">N516*K516</f>
        <v>0</v>
      </c>
      <c r="P516" s="41">
        <v>0</v>
      </c>
      <c r="Q516" s="41">
        <f t="shared" ref="Q516" si="931">K516*P516</f>
        <v>0</v>
      </c>
      <c r="R516" s="41">
        <v>0</v>
      </c>
      <c r="S516" s="41">
        <f t="shared" ref="S516" si="932">K516*R516</f>
        <v>0</v>
      </c>
      <c r="T516" s="43">
        <v>0</v>
      </c>
      <c r="U516" s="41">
        <f t="shared" ref="U516" si="933">K516*T516</f>
        <v>0</v>
      </c>
      <c r="V516" s="41">
        <v>0</v>
      </c>
      <c r="W516" s="41">
        <f t="shared" ref="W516" si="934">K516*V516</f>
        <v>0</v>
      </c>
      <c r="X516" s="43">
        <v>0</v>
      </c>
      <c r="Y516" s="41">
        <f t="shared" ref="Y516" si="935">K516*X516</f>
        <v>0</v>
      </c>
      <c r="Z516" s="43">
        <v>0</v>
      </c>
      <c r="AA516" s="41">
        <f t="shared" ref="AA516" si="936">K516*Z516</f>
        <v>0</v>
      </c>
      <c r="AB516" s="43">
        <v>0</v>
      </c>
      <c r="AC516" s="41">
        <f t="shared" ref="AC516" si="937">K516*AB516</f>
        <v>0</v>
      </c>
      <c r="AD516" s="41">
        <v>0</v>
      </c>
      <c r="AE516" s="41">
        <f t="shared" ref="AE516" si="938">K516*AD516</f>
        <v>0</v>
      </c>
      <c r="AF516" s="41">
        <v>0</v>
      </c>
      <c r="AG516" s="41">
        <f t="shared" ref="AG516" si="939">K516*AF516</f>
        <v>0</v>
      </c>
      <c r="AH516" s="41">
        <v>1</v>
      </c>
      <c r="AI516" s="41">
        <f t="shared" ref="AI516" si="940">K516*AH516</f>
        <v>212729.53</v>
      </c>
      <c r="AJ516" s="41">
        <v>0</v>
      </c>
      <c r="AK516" s="41">
        <f t="shared" ref="AK516" si="941">K516*AJ516</f>
        <v>0</v>
      </c>
      <c r="AL516" s="33">
        <f t="shared" si="367"/>
        <v>212729.53</v>
      </c>
    </row>
    <row r="517" spans="2:38" x14ac:dyDescent="0.25">
      <c r="B517" s="19">
        <v>34800</v>
      </c>
      <c r="C517" s="19"/>
      <c r="D517" s="19"/>
      <c r="E517" s="19"/>
      <c r="F517" s="19"/>
      <c r="G517" s="58"/>
      <c r="H517" s="68"/>
      <c r="I517" s="95"/>
      <c r="J517" s="95"/>
      <c r="K517" s="20"/>
      <c r="L517" s="21">
        <f>L518</f>
        <v>759.46</v>
      </c>
      <c r="N517" s="41"/>
      <c r="O517" s="41"/>
      <c r="P517" s="41"/>
      <c r="Q517" s="41"/>
      <c r="R517" s="41"/>
      <c r="S517" s="41"/>
      <c r="T517" s="43"/>
      <c r="U517" s="41"/>
      <c r="V517" s="41"/>
      <c r="W517" s="41"/>
      <c r="X517" s="43"/>
      <c r="Y517" s="41"/>
      <c r="Z517" s="43"/>
      <c r="AA517" s="41"/>
      <c r="AB517" s="43"/>
      <c r="AC517" s="41"/>
      <c r="AD517" s="41"/>
      <c r="AE517" s="41"/>
      <c r="AF517" s="41"/>
      <c r="AG517" s="41"/>
      <c r="AH517" s="41"/>
      <c r="AI517" s="41"/>
      <c r="AJ517" s="41"/>
      <c r="AK517" s="41"/>
      <c r="AL517" s="33">
        <f t="shared" si="367"/>
        <v>0</v>
      </c>
    </row>
    <row r="518" spans="2:38" ht="57.75" x14ac:dyDescent="0.25">
      <c r="B518" s="49">
        <v>34801</v>
      </c>
      <c r="C518" s="49" t="s">
        <v>424</v>
      </c>
      <c r="D518" s="49">
        <v>0</v>
      </c>
      <c r="E518" s="49">
        <v>1</v>
      </c>
      <c r="F518" s="49" t="s">
        <v>385</v>
      </c>
      <c r="G518" s="64" t="s">
        <v>89</v>
      </c>
      <c r="H518" s="28" t="s">
        <v>43</v>
      </c>
      <c r="I518" s="143" t="s">
        <v>44</v>
      </c>
      <c r="J518" s="144"/>
      <c r="K518" s="50">
        <v>759.46</v>
      </c>
      <c r="L518" s="50">
        <f>E518*K518</f>
        <v>759.46</v>
      </c>
      <c r="N518" s="41">
        <v>1</v>
      </c>
      <c r="O518" s="41">
        <f>N518*K518</f>
        <v>759.46</v>
      </c>
      <c r="P518" s="41">
        <v>1</v>
      </c>
      <c r="Q518" s="41">
        <f>P518*K518</f>
        <v>759.46</v>
      </c>
      <c r="R518" s="41">
        <v>1</v>
      </c>
      <c r="S518" s="41">
        <f t="shared" ref="S518" si="942">R518*O518</f>
        <v>759.46</v>
      </c>
      <c r="T518" s="43">
        <v>1</v>
      </c>
      <c r="U518" s="41">
        <f t="shared" ref="U518" si="943">T518*Q518</f>
        <v>759.46</v>
      </c>
      <c r="V518" s="41">
        <v>1</v>
      </c>
      <c r="W518" s="41">
        <f t="shared" ref="W518" si="944">V518*S518</f>
        <v>759.46</v>
      </c>
      <c r="X518" s="43">
        <v>1</v>
      </c>
      <c r="Y518" s="41">
        <f>X518*K518</f>
        <v>759.46</v>
      </c>
      <c r="Z518" s="43">
        <v>1</v>
      </c>
      <c r="AA518" s="41">
        <f t="shared" ref="AA518" si="945">Z518*W518</f>
        <v>759.46</v>
      </c>
      <c r="AB518" s="43">
        <v>1</v>
      </c>
      <c r="AC518" s="41">
        <f>AB518*K518</f>
        <v>759.46</v>
      </c>
      <c r="AD518" s="41">
        <v>1</v>
      </c>
      <c r="AE518" s="41">
        <f t="shared" ref="AE518" si="946">AD518*AA518</f>
        <v>759.46</v>
      </c>
      <c r="AF518" s="41">
        <v>1</v>
      </c>
      <c r="AG518" s="41">
        <f>AF518*K518</f>
        <v>759.46</v>
      </c>
      <c r="AH518" s="41">
        <v>1</v>
      </c>
      <c r="AI518" s="41">
        <f t="shared" ref="AI518" si="947">AH518*AE518</f>
        <v>759.46</v>
      </c>
      <c r="AJ518" s="41">
        <v>1</v>
      </c>
      <c r="AK518" s="41">
        <f t="shared" ref="AK518" si="948">AJ518*AG518</f>
        <v>759.46</v>
      </c>
      <c r="AL518" s="33">
        <f t="shared" si="367"/>
        <v>9113.52</v>
      </c>
    </row>
    <row r="519" spans="2:38" x14ac:dyDescent="0.25">
      <c r="B519" s="19">
        <v>35000</v>
      </c>
      <c r="C519" s="19"/>
      <c r="D519" s="19"/>
      <c r="E519" s="19"/>
      <c r="F519" s="19"/>
      <c r="G519" s="58"/>
      <c r="H519" s="59"/>
      <c r="I519" s="95"/>
      <c r="J519" s="95"/>
      <c r="K519" s="20"/>
      <c r="L519" s="21">
        <f>L520+L527+L529+L532+L543+L546+L548</f>
        <v>378377.14</v>
      </c>
      <c r="M519" s="60">
        <f>M520+M527+M529+M532</f>
        <v>290003</v>
      </c>
      <c r="N519" s="41"/>
      <c r="O519" s="41"/>
      <c r="P519" s="41"/>
      <c r="Q519" s="41"/>
      <c r="R519" s="41"/>
      <c r="S519" s="41"/>
      <c r="T519" s="43"/>
      <c r="U519" s="41"/>
      <c r="V519" s="41"/>
      <c r="W519" s="41"/>
      <c r="X519" s="43"/>
      <c r="Y519" s="41"/>
      <c r="Z519" s="43"/>
      <c r="AA519" s="41"/>
      <c r="AB519" s="43"/>
      <c r="AC519" s="41"/>
      <c r="AD519" s="41"/>
      <c r="AE519" s="41"/>
      <c r="AF519" s="41"/>
      <c r="AG519" s="41"/>
      <c r="AH519" s="41"/>
      <c r="AI519" s="41"/>
      <c r="AJ519" s="41"/>
      <c r="AK519" s="41"/>
      <c r="AL519" s="33"/>
    </row>
    <row r="520" spans="2:38" x14ac:dyDescent="0.25">
      <c r="B520" s="19">
        <v>35100</v>
      </c>
      <c r="C520" s="19"/>
      <c r="D520" s="19"/>
      <c r="E520" s="19"/>
      <c r="F520" s="19"/>
      <c r="G520" s="58"/>
      <c r="H520" s="59"/>
      <c r="I520" s="95"/>
      <c r="J520" s="95"/>
      <c r="K520" s="20"/>
      <c r="L520" s="21">
        <f>SUM(L521:L526)</f>
        <v>59402.44</v>
      </c>
      <c r="M520" s="60">
        <v>150000</v>
      </c>
      <c r="N520" s="41"/>
      <c r="O520" s="41"/>
      <c r="P520" s="41"/>
      <c r="Q520" s="41"/>
      <c r="R520" s="41"/>
      <c r="S520" s="41"/>
      <c r="T520" s="43"/>
      <c r="U520" s="41"/>
      <c r="V520" s="41"/>
      <c r="W520" s="41"/>
      <c r="X520" s="43"/>
      <c r="Y520" s="41"/>
      <c r="Z520" s="43"/>
      <c r="AA520" s="41"/>
      <c r="AB520" s="43"/>
      <c r="AC520" s="41"/>
      <c r="AD520" s="41"/>
      <c r="AE520" s="41"/>
      <c r="AF520" s="41"/>
      <c r="AG520" s="41"/>
      <c r="AH520" s="41"/>
      <c r="AI520" s="41"/>
      <c r="AJ520" s="41"/>
      <c r="AK520" s="41"/>
      <c r="AL520" s="33"/>
    </row>
    <row r="521" spans="2:38" ht="57.75" x14ac:dyDescent="0.25">
      <c r="B521" s="49">
        <v>35101</v>
      </c>
      <c r="C521" s="49" t="s">
        <v>425</v>
      </c>
      <c r="D521" s="49">
        <v>0</v>
      </c>
      <c r="E521" s="49">
        <v>4</v>
      </c>
      <c r="F521" s="49" t="s">
        <v>385</v>
      </c>
      <c r="G521" s="64" t="s">
        <v>282</v>
      </c>
      <c r="H521" s="28" t="s">
        <v>43</v>
      </c>
      <c r="I521" s="143" t="s">
        <v>44</v>
      </c>
      <c r="J521" s="144"/>
      <c r="K521" s="50">
        <v>1800</v>
      </c>
      <c r="L521" s="17">
        <f t="shared" ref="L521:L525" si="949">E521*K521</f>
        <v>7200</v>
      </c>
      <c r="N521" s="41">
        <v>0</v>
      </c>
      <c r="O521" s="41">
        <f t="shared" ref="O521:O525" si="950">N521*K521</f>
        <v>0</v>
      </c>
      <c r="P521" s="41">
        <v>0</v>
      </c>
      <c r="Q521" s="41">
        <f t="shared" ref="Q521:Q525" si="951">K521*P521</f>
        <v>0</v>
      </c>
      <c r="R521" s="41">
        <v>4</v>
      </c>
      <c r="S521" s="41">
        <f t="shared" ref="S521:S525" si="952">K521*R521</f>
        <v>7200</v>
      </c>
      <c r="T521" s="43">
        <f t="shared" ref="T521" si="953">E521/12</f>
        <v>0.33333333333333331</v>
      </c>
      <c r="U521" s="41">
        <f t="shared" ref="U521:U525" si="954">K521*T521</f>
        <v>600</v>
      </c>
      <c r="V521" s="41">
        <f t="shared" ref="V521" si="955">E521/12</f>
        <v>0.33333333333333331</v>
      </c>
      <c r="W521" s="41">
        <f t="shared" ref="W521:W525" si="956">K521*V521</f>
        <v>600</v>
      </c>
      <c r="X521" s="43">
        <f t="shared" ref="X521" si="957">E521/12</f>
        <v>0.33333333333333331</v>
      </c>
      <c r="Y521" s="41">
        <f t="shared" ref="Y521:Y525" si="958">K521*X521</f>
        <v>600</v>
      </c>
      <c r="Z521" s="43">
        <f t="shared" ref="Z521" si="959">E521/12</f>
        <v>0.33333333333333331</v>
      </c>
      <c r="AA521" s="41">
        <f t="shared" ref="AA521:AA525" si="960">K521*Z521</f>
        <v>600</v>
      </c>
      <c r="AB521" s="43">
        <f t="shared" ref="AB521" si="961">E521/12</f>
        <v>0.33333333333333331</v>
      </c>
      <c r="AC521" s="41">
        <f t="shared" ref="AC521:AC525" si="962">K521*AB521</f>
        <v>600</v>
      </c>
      <c r="AD521" s="41">
        <f t="shared" ref="AD521:AD522" si="963">E521/12</f>
        <v>0.33333333333333331</v>
      </c>
      <c r="AE521" s="41">
        <f t="shared" ref="AE521:AE525" si="964">K521*AD521</f>
        <v>600</v>
      </c>
      <c r="AF521" s="41">
        <f t="shared" ref="AF521:AF522" si="965">E521/12</f>
        <v>0.33333333333333331</v>
      </c>
      <c r="AG521" s="41">
        <f t="shared" ref="AG521:AG525" si="966">K521*AF521</f>
        <v>600</v>
      </c>
      <c r="AH521" s="41">
        <f t="shared" ref="AH521:AH522" si="967">E521/12</f>
        <v>0.33333333333333331</v>
      </c>
      <c r="AI521" s="41">
        <f t="shared" ref="AI521:AI525" si="968">K521*AH521</f>
        <v>600</v>
      </c>
      <c r="AJ521" s="41">
        <f t="shared" ref="AJ521:AJ522" si="969">E521/12</f>
        <v>0.33333333333333331</v>
      </c>
      <c r="AK521" s="41">
        <f t="shared" ref="AK521:AK525" si="970">K521*AJ521</f>
        <v>600</v>
      </c>
      <c r="AL521" s="33">
        <f t="shared" ref="AL521:AL588" si="971">O521+Q521+S521+U521+W521+Y521+AA521+AC521+AE521+AG521+AI521+AK521</f>
        <v>12600</v>
      </c>
    </row>
    <row r="522" spans="2:38" ht="57.75" x14ac:dyDescent="0.25">
      <c r="B522" s="14">
        <v>35101</v>
      </c>
      <c r="C522" s="14" t="s">
        <v>426</v>
      </c>
      <c r="D522" s="49">
        <v>0</v>
      </c>
      <c r="E522" s="14">
        <v>1</v>
      </c>
      <c r="F522" s="14" t="s">
        <v>385</v>
      </c>
      <c r="G522" s="27" t="s">
        <v>416</v>
      </c>
      <c r="H522" s="28" t="s">
        <v>43</v>
      </c>
      <c r="I522" s="143" t="s">
        <v>44</v>
      </c>
      <c r="J522" s="144"/>
      <c r="K522" s="17">
        <v>12044.44</v>
      </c>
      <c r="L522" s="17">
        <f t="shared" si="949"/>
        <v>12044.44</v>
      </c>
      <c r="N522" s="41">
        <v>0</v>
      </c>
      <c r="O522" s="41">
        <f t="shared" si="950"/>
        <v>0</v>
      </c>
      <c r="P522" s="41">
        <v>0</v>
      </c>
      <c r="Q522" s="41">
        <f t="shared" si="951"/>
        <v>0</v>
      </c>
      <c r="R522" s="41">
        <v>1</v>
      </c>
      <c r="S522" s="41">
        <f t="shared" si="952"/>
        <v>12044.44</v>
      </c>
      <c r="T522" s="43">
        <v>0</v>
      </c>
      <c r="U522" s="41">
        <f t="shared" si="954"/>
        <v>0</v>
      </c>
      <c r="V522" s="41">
        <v>0</v>
      </c>
      <c r="W522" s="41">
        <f t="shared" si="956"/>
        <v>0</v>
      </c>
      <c r="X522" s="43">
        <v>0</v>
      </c>
      <c r="Y522" s="41">
        <f t="shared" si="958"/>
        <v>0</v>
      </c>
      <c r="Z522" s="43">
        <v>0</v>
      </c>
      <c r="AA522" s="41">
        <f t="shared" si="960"/>
        <v>0</v>
      </c>
      <c r="AB522" s="43">
        <v>0</v>
      </c>
      <c r="AC522" s="41">
        <f t="shared" si="962"/>
        <v>0</v>
      </c>
      <c r="AD522" s="41">
        <f t="shared" si="963"/>
        <v>8.3333333333333329E-2</v>
      </c>
      <c r="AE522" s="41">
        <f t="shared" si="964"/>
        <v>1003.7033333333334</v>
      </c>
      <c r="AF522" s="41">
        <f t="shared" si="965"/>
        <v>8.3333333333333329E-2</v>
      </c>
      <c r="AG522" s="41">
        <f t="shared" si="966"/>
        <v>1003.7033333333334</v>
      </c>
      <c r="AH522" s="41">
        <f t="shared" si="967"/>
        <v>8.3333333333333329E-2</v>
      </c>
      <c r="AI522" s="41">
        <f t="shared" si="968"/>
        <v>1003.7033333333334</v>
      </c>
      <c r="AJ522" s="41">
        <f t="shared" si="969"/>
        <v>8.3333333333333329E-2</v>
      </c>
      <c r="AK522" s="41">
        <f t="shared" si="970"/>
        <v>1003.7033333333334</v>
      </c>
      <c r="AL522" s="33">
        <f t="shared" si="971"/>
        <v>16059.253333333332</v>
      </c>
    </row>
    <row r="523" spans="2:38" ht="57.75" x14ac:dyDescent="0.25">
      <c r="B523" s="49">
        <v>35101</v>
      </c>
      <c r="C523" s="49" t="s">
        <v>427</v>
      </c>
      <c r="D523" s="49">
        <v>0</v>
      </c>
      <c r="E523" s="49">
        <v>1</v>
      </c>
      <c r="F523" s="49" t="s">
        <v>385</v>
      </c>
      <c r="G523" s="64" t="s">
        <v>416</v>
      </c>
      <c r="H523" s="28" t="s">
        <v>43</v>
      </c>
      <c r="I523" s="143" t="s">
        <v>44</v>
      </c>
      <c r="J523" s="144"/>
      <c r="K523" s="50">
        <v>4226</v>
      </c>
      <c r="L523" s="17">
        <f t="shared" si="949"/>
        <v>4226</v>
      </c>
      <c r="N523" s="41">
        <v>0</v>
      </c>
      <c r="O523" s="41">
        <f t="shared" si="950"/>
        <v>0</v>
      </c>
      <c r="P523" s="41">
        <v>0</v>
      </c>
      <c r="Q523" s="41">
        <f t="shared" si="951"/>
        <v>0</v>
      </c>
      <c r="R523" s="41">
        <v>1</v>
      </c>
      <c r="S523" s="41">
        <f t="shared" si="952"/>
        <v>4226</v>
      </c>
      <c r="T523" s="43">
        <v>0</v>
      </c>
      <c r="U523" s="41">
        <f t="shared" si="954"/>
        <v>0</v>
      </c>
      <c r="V523" s="41">
        <v>0</v>
      </c>
      <c r="W523" s="41">
        <f t="shared" si="956"/>
        <v>0</v>
      </c>
      <c r="X523" s="43">
        <v>0</v>
      </c>
      <c r="Y523" s="41">
        <f t="shared" si="958"/>
        <v>0</v>
      </c>
      <c r="Z523" s="43">
        <v>0</v>
      </c>
      <c r="AA523" s="41">
        <f t="shared" si="960"/>
        <v>0</v>
      </c>
      <c r="AB523" s="43">
        <v>0</v>
      </c>
      <c r="AC523" s="41">
        <f t="shared" si="962"/>
        <v>0</v>
      </c>
      <c r="AD523" s="41">
        <v>0</v>
      </c>
      <c r="AE523" s="41">
        <f t="shared" si="964"/>
        <v>0</v>
      </c>
      <c r="AF523" s="41">
        <v>0</v>
      </c>
      <c r="AG523" s="41">
        <f t="shared" si="966"/>
        <v>0</v>
      </c>
      <c r="AH523" s="41">
        <v>0</v>
      </c>
      <c r="AI523" s="41">
        <f t="shared" si="968"/>
        <v>0</v>
      </c>
      <c r="AJ523" s="41">
        <v>0</v>
      </c>
      <c r="AK523" s="41">
        <f t="shared" si="970"/>
        <v>0</v>
      </c>
      <c r="AL523" s="33">
        <f t="shared" si="971"/>
        <v>4226</v>
      </c>
    </row>
    <row r="524" spans="2:38" ht="57.75" x14ac:dyDescent="0.25">
      <c r="B524" s="14">
        <v>35101</v>
      </c>
      <c r="C524" s="14" t="s">
        <v>428</v>
      </c>
      <c r="D524" s="49">
        <v>0</v>
      </c>
      <c r="E524" s="14">
        <v>2</v>
      </c>
      <c r="F524" s="14" t="s">
        <v>385</v>
      </c>
      <c r="G524" s="27" t="s">
        <v>411</v>
      </c>
      <c r="H524" s="28" t="s">
        <v>43</v>
      </c>
      <c r="I524" s="143" t="s">
        <v>44</v>
      </c>
      <c r="J524" s="144"/>
      <c r="K524" s="17">
        <v>7300</v>
      </c>
      <c r="L524" s="17">
        <f t="shared" si="949"/>
        <v>14600</v>
      </c>
      <c r="N524" s="41">
        <v>0</v>
      </c>
      <c r="O524" s="41">
        <f t="shared" si="950"/>
        <v>0</v>
      </c>
      <c r="P524" s="41">
        <v>0</v>
      </c>
      <c r="Q524" s="41">
        <f t="shared" si="951"/>
        <v>0</v>
      </c>
      <c r="R524" s="41">
        <v>2</v>
      </c>
      <c r="S524" s="41">
        <f t="shared" si="952"/>
        <v>14600</v>
      </c>
      <c r="T524" s="43">
        <v>0</v>
      </c>
      <c r="U524" s="41">
        <f t="shared" si="954"/>
        <v>0</v>
      </c>
      <c r="V524" s="41">
        <v>0</v>
      </c>
      <c r="W524" s="41">
        <f t="shared" si="956"/>
        <v>0</v>
      </c>
      <c r="X524" s="43">
        <v>0</v>
      </c>
      <c r="Y524" s="41">
        <f t="shared" si="958"/>
        <v>0</v>
      </c>
      <c r="Z524" s="43">
        <v>0</v>
      </c>
      <c r="AA524" s="41">
        <f t="shared" si="960"/>
        <v>0</v>
      </c>
      <c r="AB524" s="43">
        <v>0</v>
      </c>
      <c r="AC524" s="41">
        <f t="shared" si="962"/>
        <v>0</v>
      </c>
      <c r="AD524" s="41">
        <v>0</v>
      </c>
      <c r="AE524" s="41">
        <f t="shared" si="964"/>
        <v>0</v>
      </c>
      <c r="AF524" s="41">
        <v>0</v>
      </c>
      <c r="AG524" s="41">
        <f t="shared" si="966"/>
        <v>0</v>
      </c>
      <c r="AH524" s="41">
        <v>0</v>
      </c>
      <c r="AI524" s="41">
        <f t="shared" si="968"/>
        <v>0</v>
      </c>
      <c r="AJ524" s="41">
        <v>0</v>
      </c>
      <c r="AK524" s="41">
        <f t="shared" si="970"/>
        <v>0</v>
      </c>
      <c r="AL524" s="33">
        <f t="shared" si="971"/>
        <v>14600</v>
      </c>
    </row>
    <row r="525" spans="2:38" ht="57.75" x14ac:dyDescent="0.25">
      <c r="B525" s="14">
        <v>35101</v>
      </c>
      <c r="C525" s="14" t="s">
        <v>429</v>
      </c>
      <c r="D525" s="49">
        <v>0</v>
      </c>
      <c r="E525" s="14">
        <v>2</v>
      </c>
      <c r="F525" s="14" t="s">
        <v>385</v>
      </c>
      <c r="G525" s="27" t="s">
        <v>430</v>
      </c>
      <c r="H525" s="28" t="s">
        <v>43</v>
      </c>
      <c r="I525" s="143" t="s">
        <v>44</v>
      </c>
      <c r="J525" s="144"/>
      <c r="K525" s="17">
        <v>4112</v>
      </c>
      <c r="L525" s="17">
        <f t="shared" si="949"/>
        <v>8224</v>
      </c>
      <c r="N525" s="41">
        <v>0</v>
      </c>
      <c r="O525" s="41">
        <f t="shared" si="950"/>
        <v>0</v>
      </c>
      <c r="P525" s="41">
        <v>0</v>
      </c>
      <c r="Q525" s="41">
        <f t="shared" si="951"/>
        <v>0</v>
      </c>
      <c r="R525" s="41">
        <v>0</v>
      </c>
      <c r="S525" s="41">
        <f t="shared" si="952"/>
        <v>0</v>
      </c>
      <c r="T525" s="43">
        <v>1</v>
      </c>
      <c r="U525" s="41">
        <f t="shared" si="954"/>
        <v>4112</v>
      </c>
      <c r="V525" s="41">
        <v>0</v>
      </c>
      <c r="W525" s="41">
        <f t="shared" si="956"/>
        <v>0</v>
      </c>
      <c r="X525" s="43">
        <v>1</v>
      </c>
      <c r="Y525" s="41">
        <f t="shared" si="958"/>
        <v>4112</v>
      </c>
      <c r="Z525" s="43">
        <v>0</v>
      </c>
      <c r="AA525" s="41">
        <f t="shared" si="960"/>
        <v>0</v>
      </c>
      <c r="AB525" s="43">
        <v>0</v>
      </c>
      <c r="AC525" s="41">
        <f t="shared" si="962"/>
        <v>0</v>
      </c>
      <c r="AD525" s="41">
        <v>0</v>
      </c>
      <c r="AE525" s="41">
        <f t="shared" si="964"/>
        <v>0</v>
      </c>
      <c r="AF525" s="41">
        <v>0</v>
      </c>
      <c r="AG525" s="41">
        <f t="shared" si="966"/>
        <v>0</v>
      </c>
      <c r="AH525" s="41">
        <v>0</v>
      </c>
      <c r="AI525" s="41">
        <f t="shared" si="968"/>
        <v>0</v>
      </c>
      <c r="AJ525" s="41">
        <v>0</v>
      </c>
      <c r="AK525" s="41">
        <f t="shared" si="970"/>
        <v>0</v>
      </c>
      <c r="AL525" s="33">
        <f t="shared" si="971"/>
        <v>8224</v>
      </c>
    </row>
    <row r="526" spans="2:38" ht="57.75" x14ac:dyDescent="0.25">
      <c r="B526" s="14">
        <v>35102</v>
      </c>
      <c r="C526" s="14" t="s">
        <v>530</v>
      </c>
      <c r="D526" s="49">
        <v>0</v>
      </c>
      <c r="E526" s="14">
        <v>1</v>
      </c>
      <c r="F526" s="14" t="s">
        <v>385</v>
      </c>
      <c r="G526" s="27" t="s">
        <v>430</v>
      </c>
      <c r="H526" s="28" t="s">
        <v>43</v>
      </c>
      <c r="I526" s="143" t="s">
        <v>44</v>
      </c>
      <c r="J526" s="144"/>
      <c r="K526" s="17">
        <v>13108</v>
      </c>
      <c r="L526" s="17">
        <f t="shared" ref="L526" si="972">E526*K526</f>
        <v>13108</v>
      </c>
      <c r="N526" s="41">
        <v>0</v>
      </c>
      <c r="O526" s="41">
        <f t="shared" ref="O526" si="973">N526*K526</f>
        <v>0</v>
      </c>
      <c r="P526" s="41">
        <v>0</v>
      </c>
      <c r="Q526" s="41">
        <f t="shared" ref="Q526" si="974">K526*P526</f>
        <v>0</v>
      </c>
      <c r="R526" s="41">
        <v>0</v>
      </c>
      <c r="S526" s="41">
        <f t="shared" ref="S526" si="975">K526*R526</f>
        <v>0</v>
      </c>
      <c r="T526" s="43">
        <v>1</v>
      </c>
      <c r="U526" s="41">
        <f t="shared" ref="U526" si="976">K526*T526</f>
        <v>13108</v>
      </c>
      <c r="V526" s="41">
        <v>0</v>
      </c>
      <c r="W526" s="41">
        <f t="shared" ref="W526" si="977">K526*V526</f>
        <v>0</v>
      </c>
      <c r="X526" s="43">
        <v>1</v>
      </c>
      <c r="Y526" s="41">
        <f t="shared" ref="Y526" si="978">K526*X526</f>
        <v>13108</v>
      </c>
      <c r="Z526" s="43">
        <v>0</v>
      </c>
      <c r="AA526" s="41">
        <f t="shared" ref="AA526" si="979">K526*Z526</f>
        <v>0</v>
      </c>
      <c r="AB526" s="43">
        <v>0</v>
      </c>
      <c r="AC526" s="41">
        <f t="shared" ref="AC526" si="980">K526*AB526</f>
        <v>0</v>
      </c>
      <c r="AD526" s="41">
        <v>0</v>
      </c>
      <c r="AE526" s="41">
        <f t="shared" ref="AE526" si="981">K526*AD526</f>
        <v>0</v>
      </c>
      <c r="AF526" s="41">
        <v>0</v>
      </c>
      <c r="AG526" s="41">
        <f t="shared" ref="AG526" si="982">K526*AF526</f>
        <v>0</v>
      </c>
      <c r="AH526" s="41">
        <v>0</v>
      </c>
      <c r="AI526" s="41">
        <f t="shared" ref="AI526" si="983">K526*AH526</f>
        <v>0</v>
      </c>
      <c r="AJ526" s="41">
        <v>0</v>
      </c>
      <c r="AK526" s="41">
        <f t="shared" ref="AK526" si="984">K526*AJ526</f>
        <v>0</v>
      </c>
      <c r="AL526" s="33">
        <f t="shared" ref="AL526" si="985">O526+Q526+S526+U526+W526+Y526+AA526+AC526+AE526+AG526+AI526+AK526</f>
        <v>26216</v>
      </c>
    </row>
    <row r="527" spans="2:38" x14ac:dyDescent="0.25">
      <c r="B527" s="19">
        <v>35200</v>
      </c>
      <c r="C527" s="19"/>
      <c r="D527" s="19"/>
      <c r="E527" s="19"/>
      <c r="F527" s="19"/>
      <c r="G527" s="58"/>
      <c r="H527" s="59"/>
      <c r="I527" s="95"/>
      <c r="J527" s="95"/>
      <c r="K527" s="20"/>
      <c r="L527" s="21">
        <f>SUM(L528:L528)</f>
        <v>10501</v>
      </c>
      <c r="M527" s="60">
        <v>25000</v>
      </c>
      <c r="N527" s="41"/>
      <c r="O527" s="41"/>
      <c r="P527" s="41"/>
      <c r="Q527" s="41"/>
      <c r="R527" s="41"/>
      <c r="S527" s="41"/>
      <c r="T527" s="43"/>
      <c r="U527" s="41"/>
      <c r="V527" s="41"/>
      <c r="W527" s="41"/>
      <c r="X527" s="43"/>
      <c r="Y527" s="41"/>
      <c r="Z527" s="43"/>
      <c r="AA527" s="41"/>
      <c r="AB527" s="43"/>
      <c r="AC527" s="41"/>
      <c r="AD527" s="41"/>
      <c r="AE527" s="41"/>
      <c r="AF527" s="41"/>
      <c r="AG527" s="41"/>
      <c r="AH527" s="41"/>
      <c r="AI527" s="41"/>
      <c r="AJ527" s="41"/>
      <c r="AK527" s="41"/>
      <c r="AL527" s="33"/>
    </row>
    <row r="528" spans="2:38" ht="57.75" x14ac:dyDescent="0.25">
      <c r="B528" s="49">
        <v>35201</v>
      </c>
      <c r="C528" s="49" t="s">
        <v>431</v>
      </c>
      <c r="D528" s="49">
        <v>0</v>
      </c>
      <c r="E528" s="49">
        <v>1</v>
      </c>
      <c r="F528" s="49" t="s">
        <v>385</v>
      </c>
      <c r="G528" s="64" t="s">
        <v>89</v>
      </c>
      <c r="H528" s="28" t="s">
        <v>43</v>
      </c>
      <c r="I528" s="143" t="s">
        <v>44</v>
      </c>
      <c r="J528" s="144"/>
      <c r="K528" s="50">
        <v>10501</v>
      </c>
      <c r="L528" s="50">
        <f>E528*K528</f>
        <v>10501</v>
      </c>
      <c r="N528" s="41">
        <v>0</v>
      </c>
      <c r="O528" s="41">
        <f t="shared" ref="O528" si="986">N528*K528</f>
        <v>0</v>
      </c>
      <c r="P528" s="41">
        <v>0</v>
      </c>
      <c r="Q528" s="41">
        <f t="shared" ref="Q528" si="987">K528*P528</f>
        <v>0</v>
      </c>
      <c r="R528" s="41">
        <v>0</v>
      </c>
      <c r="S528" s="41">
        <f t="shared" ref="S528" si="988">K528*R528</f>
        <v>0</v>
      </c>
      <c r="T528" s="43">
        <v>2</v>
      </c>
      <c r="U528" s="41">
        <f t="shared" ref="U528" si="989">K528*T528</f>
        <v>21002</v>
      </c>
      <c r="V528" s="41">
        <v>0</v>
      </c>
      <c r="W528" s="41">
        <f t="shared" ref="W528" si="990">K528*V528</f>
        <v>0</v>
      </c>
      <c r="X528" s="43">
        <v>0</v>
      </c>
      <c r="Y528" s="41">
        <f t="shared" ref="Y528" si="991">K528*X528</f>
        <v>0</v>
      </c>
      <c r="Z528" s="43">
        <v>0</v>
      </c>
      <c r="AA528" s="41">
        <v>0</v>
      </c>
      <c r="AB528" s="43">
        <v>2</v>
      </c>
      <c r="AC528" s="41">
        <f>AB528*K528</f>
        <v>21002</v>
      </c>
      <c r="AD528" s="41">
        <v>0</v>
      </c>
      <c r="AE528" s="41">
        <f t="shared" ref="AE528" si="992">K528*AD528</f>
        <v>0</v>
      </c>
      <c r="AF528" s="41">
        <v>0</v>
      </c>
      <c r="AG528" s="41">
        <f t="shared" ref="AG528" si="993">K528*AF528</f>
        <v>0</v>
      </c>
      <c r="AH528" s="41">
        <v>0</v>
      </c>
      <c r="AI528" s="41">
        <f t="shared" ref="AI528" si="994">K528*AH528</f>
        <v>0</v>
      </c>
      <c r="AJ528" s="41">
        <v>0</v>
      </c>
      <c r="AK528" s="41">
        <f t="shared" ref="AK528" si="995">K528*AJ528</f>
        <v>0</v>
      </c>
      <c r="AL528" s="33">
        <f t="shared" si="971"/>
        <v>42004</v>
      </c>
    </row>
    <row r="529" spans="2:38" x14ac:dyDescent="0.25">
      <c r="B529" s="19">
        <v>35300</v>
      </c>
      <c r="C529" s="19"/>
      <c r="D529" s="19"/>
      <c r="E529" s="19"/>
      <c r="F529" s="19"/>
      <c r="G529" s="58"/>
      <c r="H529" s="59"/>
      <c r="I529" s="95"/>
      <c r="J529" s="95"/>
      <c r="K529" s="20"/>
      <c r="L529" s="21">
        <f>SUM(L530:L531)</f>
        <v>73001</v>
      </c>
      <c r="M529" s="60">
        <v>25000</v>
      </c>
      <c r="N529" s="41"/>
      <c r="O529" s="41"/>
      <c r="P529" s="41"/>
      <c r="Q529" s="41"/>
      <c r="R529" s="41"/>
      <c r="S529" s="41"/>
      <c r="T529" s="43"/>
      <c r="U529" s="41"/>
      <c r="V529" s="41"/>
      <c r="W529" s="41"/>
      <c r="X529" s="43"/>
      <c r="Y529" s="41"/>
      <c r="Z529" s="43"/>
      <c r="AA529" s="41"/>
      <c r="AB529" s="43"/>
      <c r="AC529" s="41"/>
      <c r="AD529" s="41"/>
      <c r="AE529" s="41"/>
      <c r="AF529" s="41"/>
      <c r="AG529" s="41"/>
      <c r="AH529" s="41"/>
      <c r="AI529" s="41"/>
      <c r="AJ529" s="41"/>
      <c r="AK529" s="41"/>
      <c r="AL529" s="33"/>
    </row>
    <row r="530" spans="2:38" ht="57.75" x14ac:dyDescent="0.25">
      <c r="B530" s="49">
        <v>35301</v>
      </c>
      <c r="C530" s="49" t="s">
        <v>432</v>
      </c>
      <c r="D530" s="49">
        <v>0</v>
      </c>
      <c r="E530" s="49">
        <v>1</v>
      </c>
      <c r="F530" s="49" t="s">
        <v>385</v>
      </c>
      <c r="G530" s="64" t="s">
        <v>89</v>
      </c>
      <c r="H530" s="28" t="s">
        <v>43</v>
      </c>
      <c r="I530" s="143" t="s">
        <v>44</v>
      </c>
      <c r="J530" s="144"/>
      <c r="K530" s="50">
        <v>68001</v>
      </c>
      <c r="L530" s="50">
        <f>E530*K530</f>
        <v>68001</v>
      </c>
      <c r="N530" s="41">
        <v>0</v>
      </c>
      <c r="O530" s="41">
        <f t="shared" ref="O530:O531" si="996">N530*K530</f>
        <v>0</v>
      </c>
      <c r="P530" s="41">
        <v>0</v>
      </c>
      <c r="Q530" s="41">
        <f t="shared" ref="Q530:Q531" si="997">K530*P530</f>
        <v>0</v>
      </c>
      <c r="R530" s="41">
        <v>0</v>
      </c>
      <c r="S530" s="41">
        <f t="shared" ref="S530:S531" si="998">K530*R530</f>
        <v>0</v>
      </c>
      <c r="T530" s="43">
        <v>2</v>
      </c>
      <c r="U530" s="41">
        <f t="shared" ref="U530:U531" si="999">K530*T530</f>
        <v>136002</v>
      </c>
      <c r="V530" s="41">
        <v>0</v>
      </c>
      <c r="W530" s="41">
        <f t="shared" ref="W530:W531" si="1000">K530*V530</f>
        <v>0</v>
      </c>
      <c r="X530" s="43">
        <v>0</v>
      </c>
      <c r="Y530" s="41">
        <f t="shared" ref="Y530:Y531" si="1001">K530*X530</f>
        <v>0</v>
      </c>
      <c r="Z530" s="43">
        <v>0</v>
      </c>
      <c r="AA530" s="41">
        <f t="shared" ref="AA530:AA531" si="1002">K530*Z530</f>
        <v>0</v>
      </c>
      <c r="AB530" s="43">
        <v>2</v>
      </c>
      <c r="AC530" s="41">
        <f t="shared" ref="AC530:AC531" si="1003">K530*AB530</f>
        <v>136002</v>
      </c>
      <c r="AD530" s="41">
        <v>0</v>
      </c>
      <c r="AE530" s="41">
        <f t="shared" ref="AE530:AE531" si="1004">K530*AD530</f>
        <v>0</v>
      </c>
      <c r="AF530" s="41">
        <v>0</v>
      </c>
      <c r="AG530" s="41">
        <f t="shared" ref="AG530:AG531" si="1005">K530*AF530</f>
        <v>0</v>
      </c>
      <c r="AH530" s="41">
        <v>0</v>
      </c>
      <c r="AI530" s="41">
        <f t="shared" ref="AI530:AI531" si="1006">K530*AH530</f>
        <v>0</v>
      </c>
      <c r="AJ530" s="41">
        <v>0</v>
      </c>
      <c r="AK530" s="41">
        <f t="shared" ref="AK530:AK531" si="1007">K530*AJ530</f>
        <v>0</v>
      </c>
      <c r="AL530" s="33">
        <f t="shared" si="971"/>
        <v>272004</v>
      </c>
    </row>
    <row r="531" spans="2:38" ht="57.75" x14ac:dyDescent="0.25">
      <c r="B531" s="49">
        <v>35301</v>
      </c>
      <c r="C531" s="49" t="s">
        <v>433</v>
      </c>
      <c r="D531" s="49">
        <v>0</v>
      </c>
      <c r="E531" s="49">
        <v>2</v>
      </c>
      <c r="F531" s="49" t="s">
        <v>385</v>
      </c>
      <c r="G531" s="64" t="s">
        <v>89</v>
      </c>
      <c r="H531" s="28" t="s">
        <v>43</v>
      </c>
      <c r="I531" s="143" t="s">
        <v>44</v>
      </c>
      <c r="J531" s="144"/>
      <c r="K531" s="50">
        <v>2500</v>
      </c>
      <c r="L531" s="50">
        <f>E531*K531</f>
        <v>5000</v>
      </c>
      <c r="N531" s="41">
        <v>0</v>
      </c>
      <c r="O531" s="41">
        <f t="shared" si="996"/>
        <v>0</v>
      </c>
      <c r="P531" s="41">
        <v>0</v>
      </c>
      <c r="Q531" s="41">
        <f t="shared" si="997"/>
        <v>0</v>
      </c>
      <c r="R531" s="41">
        <v>0</v>
      </c>
      <c r="S531" s="41">
        <f t="shared" si="998"/>
        <v>0</v>
      </c>
      <c r="T531" s="43">
        <v>0</v>
      </c>
      <c r="U531" s="41">
        <f t="shared" si="999"/>
        <v>0</v>
      </c>
      <c r="V531" s="41">
        <v>0</v>
      </c>
      <c r="W531" s="41">
        <f t="shared" si="1000"/>
        <v>0</v>
      </c>
      <c r="X531" s="43">
        <v>0</v>
      </c>
      <c r="Y531" s="41">
        <f t="shared" si="1001"/>
        <v>0</v>
      </c>
      <c r="Z531" s="43">
        <v>0</v>
      </c>
      <c r="AA531" s="41">
        <f t="shared" si="1002"/>
        <v>0</v>
      </c>
      <c r="AB531" s="43">
        <v>0</v>
      </c>
      <c r="AC531" s="41">
        <f t="shared" si="1003"/>
        <v>0</v>
      </c>
      <c r="AD531" s="41">
        <v>0</v>
      </c>
      <c r="AE531" s="41">
        <f t="shared" si="1004"/>
        <v>0</v>
      </c>
      <c r="AF531" s="41">
        <v>0</v>
      </c>
      <c r="AG531" s="41">
        <f t="shared" si="1005"/>
        <v>0</v>
      </c>
      <c r="AH531" s="41">
        <v>2</v>
      </c>
      <c r="AI531" s="41">
        <f t="shared" si="1006"/>
        <v>5000</v>
      </c>
      <c r="AJ531" s="41">
        <v>0</v>
      </c>
      <c r="AK531" s="41">
        <f t="shared" si="1007"/>
        <v>0</v>
      </c>
      <c r="AL531" s="33">
        <f t="shared" si="971"/>
        <v>5000</v>
      </c>
    </row>
    <row r="532" spans="2:38" x14ac:dyDescent="0.25">
      <c r="B532" s="19">
        <v>35500</v>
      </c>
      <c r="C532" s="19"/>
      <c r="D532" s="19"/>
      <c r="E532" s="19"/>
      <c r="F532" s="19"/>
      <c r="G532" s="58"/>
      <c r="H532" s="59"/>
      <c r="I532" s="95"/>
      <c r="J532" s="95"/>
      <c r="K532" s="20"/>
      <c r="L532" s="21">
        <f>SUM(L533:L542)</f>
        <v>220469.7</v>
      </c>
      <c r="M532" s="60">
        <v>90003</v>
      </c>
      <c r="N532" s="41"/>
      <c r="O532" s="41"/>
      <c r="P532" s="41"/>
      <c r="Q532" s="41"/>
      <c r="R532" s="41"/>
      <c r="S532" s="41"/>
      <c r="T532" s="43"/>
      <c r="U532" s="41"/>
      <c r="V532" s="41"/>
      <c r="W532" s="41"/>
      <c r="X532" s="43"/>
      <c r="Y532" s="41"/>
      <c r="Z532" s="43"/>
      <c r="AA532" s="41"/>
      <c r="AB532" s="43"/>
      <c r="AC532" s="41"/>
      <c r="AD532" s="41"/>
      <c r="AE532" s="41"/>
      <c r="AF532" s="41"/>
      <c r="AG532" s="41"/>
      <c r="AH532" s="41"/>
      <c r="AI532" s="41"/>
      <c r="AJ532" s="41"/>
      <c r="AK532" s="41"/>
      <c r="AL532" s="33"/>
    </row>
    <row r="533" spans="2:38" ht="57.75" x14ac:dyDescent="0.25">
      <c r="B533" s="49">
        <v>35501</v>
      </c>
      <c r="C533" s="49" t="s">
        <v>434</v>
      </c>
      <c r="D533" s="49">
        <v>0</v>
      </c>
      <c r="E533" s="49">
        <v>1</v>
      </c>
      <c r="F533" s="49" t="s">
        <v>385</v>
      </c>
      <c r="G533" s="64" t="s">
        <v>282</v>
      </c>
      <c r="H533" s="28" t="s">
        <v>43</v>
      </c>
      <c r="I533" s="143" t="s">
        <v>44</v>
      </c>
      <c r="J533" s="144"/>
      <c r="K533" s="50">
        <v>130169.7</v>
      </c>
      <c r="L533" s="50">
        <f t="shared" ref="L533:L542" si="1008">E533*K533</f>
        <v>130169.7</v>
      </c>
      <c r="N533" s="41">
        <v>0</v>
      </c>
      <c r="O533" s="41">
        <f t="shared" ref="O533:O542" si="1009">N533*K533</f>
        <v>0</v>
      </c>
      <c r="P533" s="41">
        <v>2</v>
      </c>
      <c r="Q533" s="41">
        <f t="shared" ref="Q533:Q542" si="1010">K533*P533</f>
        <v>260339.4</v>
      </c>
      <c r="R533" s="41">
        <v>0</v>
      </c>
      <c r="S533" s="41">
        <f t="shared" ref="S533:S542" si="1011">K533*R533</f>
        <v>0</v>
      </c>
      <c r="T533" s="43">
        <v>0</v>
      </c>
      <c r="U533" s="41">
        <f t="shared" ref="U533:U542" si="1012">K533*T533</f>
        <v>0</v>
      </c>
      <c r="V533" s="41">
        <v>0</v>
      </c>
      <c r="W533" s="41">
        <f t="shared" ref="W533:W542" si="1013">K533*V533</f>
        <v>0</v>
      </c>
      <c r="X533" s="43">
        <v>2</v>
      </c>
      <c r="Y533" s="41">
        <f t="shared" ref="Y533:Y542" si="1014">K533*X533</f>
        <v>260339.4</v>
      </c>
      <c r="Z533" s="43">
        <v>0</v>
      </c>
      <c r="AA533" s="41">
        <f t="shared" ref="AA533:AA541" si="1015">K533*Z533</f>
        <v>0</v>
      </c>
      <c r="AB533" s="43">
        <v>2</v>
      </c>
      <c r="AC533" s="41">
        <f t="shared" ref="AC533:AC542" si="1016">K533*AB533</f>
        <v>260339.4</v>
      </c>
      <c r="AD533" s="41">
        <v>0</v>
      </c>
      <c r="AE533" s="41">
        <f t="shared" ref="AE533:AE542" si="1017">K533*AD533</f>
        <v>0</v>
      </c>
      <c r="AF533" s="41">
        <v>2</v>
      </c>
      <c r="AG533" s="41">
        <f t="shared" ref="AG533:AG542" si="1018">K533*AF533</f>
        <v>260339.4</v>
      </c>
      <c r="AH533" s="41">
        <v>0</v>
      </c>
      <c r="AI533" s="41">
        <f t="shared" ref="AI533:AI542" si="1019">K533*AH533</f>
        <v>0</v>
      </c>
      <c r="AJ533" s="41">
        <v>0</v>
      </c>
      <c r="AK533" s="41">
        <f t="shared" ref="AK533:AK542" si="1020">K533*AJ533</f>
        <v>0</v>
      </c>
      <c r="AL533" s="33">
        <f t="shared" si="971"/>
        <v>1041357.6</v>
      </c>
    </row>
    <row r="534" spans="2:38" ht="57.75" x14ac:dyDescent="0.25">
      <c r="B534" s="49">
        <v>35501</v>
      </c>
      <c r="C534" s="49" t="s">
        <v>435</v>
      </c>
      <c r="D534" s="49">
        <v>0</v>
      </c>
      <c r="E534" s="49">
        <v>8</v>
      </c>
      <c r="F534" s="49" t="s">
        <v>385</v>
      </c>
      <c r="G534" s="64" t="s">
        <v>89</v>
      </c>
      <c r="H534" s="28" t="s">
        <v>43</v>
      </c>
      <c r="I534" s="143" t="s">
        <v>44</v>
      </c>
      <c r="J534" s="144"/>
      <c r="K534" s="50">
        <f>4392-31.625</f>
        <v>4360.375</v>
      </c>
      <c r="L534" s="50">
        <f t="shared" si="1008"/>
        <v>34883</v>
      </c>
      <c r="N534" s="41">
        <v>0</v>
      </c>
      <c r="O534" s="41">
        <f t="shared" si="1009"/>
        <v>0</v>
      </c>
      <c r="P534" s="41">
        <v>0</v>
      </c>
      <c r="Q534" s="41">
        <f t="shared" si="1010"/>
        <v>0</v>
      </c>
      <c r="R534" s="41">
        <v>2</v>
      </c>
      <c r="S534" s="41">
        <f t="shared" si="1011"/>
        <v>8720.75</v>
      </c>
      <c r="T534" s="43">
        <v>0</v>
      </c>
      <c r="U534" s="41">
        <f t="shared" si="1012"/>
        <v>0</v>
      </c>
      <c r="V534" s="41">
        <v>2</v>
      </c>
      <c r="W534" s="41">
        <f t="shared" si="1013"/>
        <v>8720.75</v>
      </c>
      <c r="X534" s="43">
        <v>0</v>
      </c>
      <c r="Y534" s="41">
        <f t="shared" si="1014"/>
        <v>0</v>
      </c>
      <c r="Z534" s="43">
        <v>2</v>
      </c>
      <c r="AA534" s="41">
        <f t="shared" si="1015"/>
        <v>8720.75</v>
      </c>
      <c r="AB534" s="43">
        <v>0</v>
      </c>
      <c r="AC534" s="41">
        <f t="shared" si="1016"/>
        <v>0</v>
      </c>
      <c r="AD534" s="41">
        <v>0</v>
      </c>
      <c r="AE534" s="41">
        <f t="shared" si="1017"/>
        <v>0</v>
      </c>
      <c r="AF534" s="41">
        <v>0</v>
      </c>
      <c r="AG534" s="41">
        <f t="shared" si="1018"/>
        <v>0</v>
      </c>
      <c r="AH534" s="41">
        <v>2</v>
      </c>
      <c r="AI534" s="41">
        <f t="shared" si="1019"/>
        <v>8720.75</v>
      </c>
      <c r="AJ534" s="41">
        <v>0</v>
      </c>
      <c r="AK534" s="41">
        <f t="shared" si="1020"/>
        <v>0</v>
      </c>
      <c r="AL534" s="33">
        <f t="shared" si="971"/>
        <v>34883</v>
      </c>
    </row>
    <row r="535" spans="2:38" ht="57.75" x14ac:dyDescent="0.25">
      <c r="B535" s="49">
        <v>35501</v>
      </c>
      <c r="C535" s="49" t="s">
        <v>436</v>
      </c>
      <c r="D535" s="49">
        <v>0</v>
      </c>
      <c r="E535" s="49">
        <v>8</v>
      </c>
      <c r="F535" s="49" t="s">
        <v>385</v>
      </c>
      <c r="G535" s="64" t="s">
        <v>282</v>
      </c>
      <c r="H535" s="28" t="s">
        <v>43</v>
      </c>
      <c r="I535" s="143" t="s">
        <v>44</v>
      </c>
      <c r="J535" s="144"/>
      <c r="K535" s="50">
        <v>870</v>
      </c>
      <c r="L535" s="50">
        <f t="shared" si="1008"/>
        <v>6960</v>
      </c>
      <c r="N535" s="41">
        <v>0</v>
      </c>
      <c r="O535" s="41">
        <f t="shared" si="1009"/>
        <v>0</v>
      </c>
      <c r="P535" s="41">
        <v>0</v>
      </c>
      <c r="Q535" s="41">
        <f t="shared" si="1010"/>
        <v>0</v>
      </c>
      <c r="R535" s="41">
        <v>2</v>
      </c>
      <c r="S535" s="41">
        <f t="shared" si="1011"/>
        <v>1740</v>
      </c>
      <c r="T535" s="43">
        <v>0</v>
      </c>
      <c r="U535" s="41">
        <f t="shared" si="1012"/>
        <v>0</v>
      </c>
      <c r="V535" s="41">
        <v>2</v>
      </c>
      <c r="W535" s="41">
        <f t="shared" si="1013"/>
        <v>1740</v>
      </c>
      <c r="X535" s="43">
        <v>0</v>
      </c>
      <c r="Y535" s="41">
        <f t="shared" si="1014"/>
        <v>0</v>
      </c>
      <c r="Z535" s="43">
        <v>2</v>
      </c>
      <c r="AA535" s="41">
        <f t="shared" si="1015"/>
        <v>1740</v>
      </c>
      <c r="AB535" s="43">
        <v>0</v>
      </c>
      <c r="AC535" s="41">
        <f t="shared" si="1016"/>
        <v>0</v>
      </c>
      <c r="AD535" s="41">
        <v>0</v>
      </c>
      <c r="AE535" s="41">
        <f t="shared" si="1017"/>
        <v>0</v>
      </c>
      <c r="AF535" s="41">
        <v>0</v>
      </c>
      <c r="AG535" s="41">
        <f t="shared" si="1018"/>
        <v>0</v>
      </c>
      <c r="AH535" s="41">
        <v>2</v>
      </c>
      <c r="AI535" s="41">
        <f t="shared" si="1019"/>
        <v>1740</v>
      </c>
      <c r="AJ535" s="41">
        <v>0</v>
      </c>
      <c r="AK535" s="41">
        <f t="shared" si="1020"/>
        <v>0</v>
      </c>
      <c r="AL535" s="33">
        <f t="shared" si="971"/>
        <v>6960</v>
      </c>
    </row>
    <row r="536" spans="2:38" ht="57.75" x14ac:dyDescent="0.25">
      <c r="B536" s="49">
        <v>35501</v>
      </c>
      <c r="C536" s="49" t="s">
        <v>437</v>
      </c>
      <c r="D536" s="49">
        <v>0</v>
      </c>
      <c r="E536" s="49">
        <v>8</v>
      </c>
      <c r="F536" s="49" t="s">
        <v>385</v>
      </c>
      <c r="G536" s="64" t="s">
        <v>282</v>
      </c>
      <c r="H536" s="28" t="s">
        <v>43</v>
      </c>
      <c r="I536" s="143" t="s">
        <v>44</v>
      </c>
      <c r="J536" s="144"/>
      <c r="K536" s="50">
        <v>290</v>
      </c>
      <c r="L536" s="50">
        <f t="shared" si="1008"/>
        <v>2320</v>
      </c>
      <c r="N536" s="41">
        <v>0</v>
      </c>
      <c r="O536" s="41">
        <f t="shared" si="1009"/>
        <v>0</v>
      </c>
      <c r="P536" s="41">
        <v>0</v>
      </c>
      <c r="Q536" s="41">
        <f t="shared" si="1010"/>
        <v>0</v>
      </c>
      <c r="R536" s="41">
        <v>2</v>
      </c>
      <c r="S536" s="41">
        <f t="shared" si="1011"/>
        <v>580</v>
      </c>
      <c r="T536" s="43">
        <v>0</v>
      </c>
      <c r="U536" s="41">
        <f t="shared" si="1012"/>
        <v>0</v>
      </c>
      <c r="V536" s="41">
        <v>2</v>
      </c>
      <c r="W536" s="41">
        <f t="shared" si="1013"/>
        <v>580</v>
      </c>
      <c r="X536" s="43">
        <v>0</v>
      </c>
      <c r="Y536" s="41">
        <f t="shared" si="1014"/>
        <v>0</v>
      </c>
      <c r="Z536" s="43">
        <v>2</v>
      </c>
      <c r="AA536" s="41">
        <f t="shared" si="1015"/>
        <v>580</v>
      </c>
      <c r="AB536" s="43">
        <v>0</v>
      </c>
      <c r="AC536" s="41">
        <f t="shared" si="1016"/>
        <v>0</v>
      </c>
      <c r="AD536" s="41">
        <v>0</v>
      </c>
      <c r="AE536" s="41">
        <f t="shared" si="1017"/>
        <v>0</v>
      </c>
      <c r="AF536" s="41">
        <v>0</v>
      </c>
      <c r="AG536" s="41">
        <f t="shared" si="1018"/>
        <v>0</v>
      </c>
      <c r="AH536" s="41">
        <v>2</v>
      </c>
      <c r="AI536" s="41">
        <f t="shared" si="1019"/>
        <v>580</v>
      </c>
      <c r="AJ536" s="41">
        <v>0</v>
      </c>
      <c r="AK536" s="41">
        <f t="shared" si="1020"/>
        <v>0</v>
      </c>
      <c r="AL536" s="33">
        <f t="shared" si="971"/>
        <v>2320</v>
      </c>
    </row>
    <row r="537" spans="2:38" ht="57.75" x14ac:dyDescent="0.25">
      <c r="B537" s="49">
        <v>35501</v>
      </c>
      <c r="C537" s="49" t="s">
        <v>438</v>
      </c>
      <c r="D537" s="49">
        <v>0</v>
      </c>
      <c r="E537" s="49">
        <v>6</v>
      </c>
      <c r="F537" s="49" t="s">
        <v>385</v>
      </c>
      <c r="G537" s="64" t="s">
        <v>89</v>
      </c>
      <c r="H537" s="28" t="s">
        <v>43</v>
      </c>
      <c r="I537" s="143" t="s">
        <v>44</v>
      </c>
      <c r="J537" s="144"/>
      <c r="K537" s="50">
        <v>406</v>
      </c>
      <c r="L537" s="50">
        <f t="shared" si="1008"/>
        <v>2436</v>
      </c>
      <c r="N537" s="41">
        <v>0</v>
      </c>
      <c r="O537" s="41">
        <f t="shared" si="1009"/>
        <v>0</v>
      </c>
      <c r="P537" s="41">
        <v>2</v>
      </c>
      <c r="Q537" s="41">
        <f t="shared" si="1010"/>
        <v>812</v>
      </c>
      <c r="R537" s="41">
        <v>0</v>
      </c>
      <c r="S537" s="41">
        <f t="shared" si="1011"/>
        <v>0</v>
      </c>
      <c r="T537" s="43">
        <f t="shared" ref="T537" si="1021">E537/12</f>
        <v>0.5</v>
      </c>
      <c r="U537" s="41">
        <v>0</v>
      </c>
      <c r="V537" s="41">
        <v>0</v>
      </c>
      <c r="W537" s="41">
        <f t="shared" si="1013"/>
        <v>0</v>
      </c>
      <c r="X537" s="43">
        <v>2</v>
      </c>
      <c r="Y537" s="41">
        <f t="shared" si="1014"/>
        <v>812</v>
      </c>
      <c r="Z537" s="43">
        <v>0</v>
      </c>
      <c r="AA537" s="41">
        <f t="shared" si="1015"/>
        <v>0</v>
      </c>
      <c r="AB537" s="43">
        <v>2</v>
      </c>
      <c r="AC537" s="41">
        <f t="shared" si="1016"/>
        <v>812</v>
      </c>
      <c r="AD537" s="41">
        <v>0</v>
      </c>
      <c r="AE537" s="41">
        <f t="shared" si="1017"/>
        <v>0</v>
      </c>
      <c r="AF537" s="41">
        <v>0</v>
      </c>
      <c r="AG537" s="41">
        <f t="shared" si="1018"/>
        <v>0</v>
      </c>
      <c r="AH537" s="41">
        <v>0</v>
      </c>
      <c r="AI537" s="41">
        <f t="shared" si="1019"/>
        <v>0</v>
      </c>
      <c r="AJ537" s="41">
        <v>0</v>
      </c>
      <c r="AK537" s="41">
        <f t="shared" si="1020"/>
        <v>0</v>
      </c>
      <c r="AL537" s="33">
        <f t="shared" si="971"/>
        <v>2436</v>
      </c>
    </row>
    <row r="538" spans="2:38" ht="57.75" x14ac:dyDescent="0.25">
      <c r="B538" s="49">
        <v>35501</v>
      </c>
      <c r="C538" s="49" t="s">
        <v>439</v>
      </c>
      <c r="D538" s="49">
        <v>0</v>
      </c>
      <c r="E538" s="49">
        <v>8</v>
      </c>
      <c r="F538" s="49" t="s">
        <v>385</v>
      </c>
      <c r="G538" s="64" t="s">
        <v>440</v>
      </c>
      <c r="H538" s="28" t="s">
        <v>43</v>
      </c>
      <c r="I538" s="143" t="s">
        <v>44</v>
      </c>
      <c r="J538" s="144"/>
      <c r="K538" s="50">
        <v>1546.5</v>
      </c>
      <c r="L538" s="50">
        <f t="shared" si="1008"/>
        <v>12372</v>
      </c>
      <c r="N538" s="41">
        <v>0</v>
      </c>
      <c r="O538" s="41">
        <f t="shared" si="1009"/>
        <v>0</v>
      </c>
      <c r="P538" s="41">
        <v>0</v>
      </c>
      <c r="Q538" s="41">
        <f t="shared" si="1010"/>
        <v>0</v>
      </c>
      <c r="R538" s="41">
        <v>2</v>
      </c>
      <c r="S538" s="41">
        <f t="shared" si="1011"/>
        <v>3093</v>
      </c>
      <c r="T538" s="43">
        <v>0</v>
      </c>
      <c r="U538" s="41">
        <f t="shared" si="1012"/>
        <v>0</v>
      </c>
      <c r="V538" s="41">
        <v>2</v>
      </c>
      <c r="W538" s="41">
        <f t="shared" si="1013"/>
        <v>3093</v>
      </c>
      <c r="X538" s="43">
        <v>0</v>
      </c>
      <c r="Y538" s="41">
        <f t="shared" si="1014"/>
        <v>0</v>
      </c>
      <c r="Z538" s="43">
        <v>2</v>
      </c>
      <c r="AA538" s="41">
        <f t="shared" si="1015"/>
        <v>3093</v>
      </c>
      <c r="AB538" s="43">
        <v>0</v>
      </c>
      <c r="AC538" s="41">
        <f t="shared" si="1016"/>
        <v>0</v>
      </c>
      <c r="AD538" s="41">
        <v>0</v>
      </c>
      <c r="AE538" s="41">
        <f t="shared" si="1017"/>
        <v>0</v>
      </c>
      <c r="AF538" s="41">
        <v>2</v>
      </c>
      <c r="AG538" s="41">
        <f t="shared" si="1018"/>
        <v>3093</v>
      </c>
      <c r="AH538" s="41">
        <v>0</v>
      </c>
      <c r="AI538" s="41">
        <f t="shared" si="1019"/>
        <v>0</v>
      </c>
      <c r="AJ538" s="41">
        <v>0</v>
      </c>
      <c r="AK538" s="41">
        <f t="shared" si="1020"/>
        <v>0</v>
      </c>
      <c r="AL538" s="33">
        <f t="shared" si="971"/>
        <v>12372</v>
      </c>
    </row>
    <row r="539" spans="2:38" ht="57.75" x14ac:dyDescent="0.25">
      <c r="B539" s="49">
        <v>35501</v>
      </c>
      <c r="C539" s="49" t="s">
        <v>441</v>
      </c>
      <c r="D539" s="49">
        <v>0</v>
      </c>
      <c r="E539" s="49">
        <v>8</v>
      </c>
      <c r="F539" s="49" t="s">
        <v>385</v>
      </c>
      <c r="G539" s="64" t="s">
        <v>282</v>
      </c>
      <c r="H539" s="28" t="s">
        <v>43</v>
      </c>
      <c r="I539" s="143" t="s">
        <v>44</v>
      </c>
      <c r="J539" s="144"/>
      <c r="K539" s="50">
        <v>1260</v>
      </c>
      <c r="L539" s="50">
        <f t="shared" si="1008"/>
        <v>10080</v>
      </c>
      <c r="N539" s="41">
        <v>0</v>
      </c>
      <c r="O539" s="41">
        <f t="shared" si="1009"/>
        <v>0</v>
      </c>
      <c r="P539" s="41">
        <v>0</v>
      </c>
      <c r="Q539" s="41">
        <f t="shared" si="1010"/>
        <v>0</v>
      </c>
      <c r="R539" s="41">
        <v>0</v>
      </c>
      <c r="S539" s="41">
        <f t="shared" si="1011"/>
        <v>0</v>
      </c>
      <c r="T539" s="43">
        <v>4</v>
      </c>
      <c r="U539" s="41">
        <f t="shared" si="1012"/>
        <v>5040</v>
      </c>
      <c r="V539" s="41">
        <v>0</v>
      </c>
      <c r="W539" s="41">
        <f t="shared" si="1013"/>
        <v>0</v>
      </c>
      <c r="X539" s="43">
        <v>0</v>
      </c>
      <c r="Y539" s="41">
        <f t="shared" si="1014"/>
        <v>0</v>
      </c>
      <c r="Z539" s="43">
        <v>4</v>
      </c>
      <c r="AA539" s="41">
        <f t="shared" si="1015"/>
        <v>5040</v>
      </c>
      <c r="AB539" s="43">
        <v>0</v>
      </c>
      <c r="AC539" s="41">
        <f t="shared" si="1016"/>
        <v>0</v>
      </c>
      <c r="AD539" s="41">
        <v>0</v>
      </c>
      <c r="AE539" s="41">
        <f t="shared" si="1017"/>
        <v>0</v>
      </c>
      <c r="AF539" s="41">
        <v>0</v>
      </c>
      <c r="AG539" s="41">
        <f t="shared" si="1018"/>
        <v>0</v>
      </c>
      <c r="AH539" s="41">
        <v>0</v>
      </c>
      <c r="AI539" s="41">
        <f t="shared" si="1019"/>
        <v>0</v>
      </c>
      <c r="AJ539" s="41">
        <v>0</v>
      </c>
      <c r="AK539" s="41">
        <f t="shared" si="1020"/>
        <v>0</v>
      </c>
      <c r="AL539" s="33">
        <f t="shared" si="971"/>
        <v>10080</v>
      </c>
    </row>
    <row r="540" spans="2:38" ht="57.75" x14ac:dyDescent="0.25">
      <c r="B540" s="49">
        <v>35501</v>
      </c>
      <c r="C540" s="49" t="s">
        <v>442</v>
      </c>
      <c r="D540" s="49">
        <v>0</v>
      </c>
      <c r="E540" s="49">
        <v>6</v>
      </c>
      <c r="F540" s="49" t="s">
        <v>385</v>
      </c>
      <c r="G540" s="64" t="s">
        <v>282</v>
      </c>
      <c r="H540" s="28" t="s">
        <v>43</v>
      </c>
      <c r="I540" s="143" t="s">
        <v>44</v>
      </c>
      <c r="J540" s="144"/>
      <c r="K540" s="50">
        <v>746</v>
      </c>
      <c r="L540" s="50">
        <f t="shared" si="1008"/>
        <v>4476</v>
      </c>
      <c r="N540" s="41">
        <v>0</v>
      </c>
      <c r="O540" s="41">
        <f t="shared" si="1009"/>
        <v>0</v>
      </c>
      <c r="P540" s="41">
        <v>0</v>
      </c>
      <c r="Q540" s="41">
        <f t="shared" si="1010"/>
        <v>0</v>
      </c>
      <c r="R540" s="41">
        <v>2</v>
      </c>
      <c r="S540" s="41">
        <f t="shared" si="1011"/>
        <v>1492</v>
      </c>
      <c r="T540" s="43">
        <v>0</v>
      </c>
      <c r="U540" s="41">
        <f t="shared" si="1012"/>
        <v>0</v>
      </c>
      <c r="V540" s="41">
        <v>0</v>
      </c>
      <c r="W540" s="41">
        <f t="shared" si="1013"/>
        <v>0</v>
      </c>
      <c r="X540" s="43">
        <v>2</v>
      </c>
      <c r="Y540" s="41">
        <f t="shared" si="1014"/>
        <v>1492</v>
      </c>
      <c r="Z540" s="43">
        <v>0</v>
      </c>
      <c r="AA540" s="41">
        <f t="shared" si="1015"/>
        <v>0</v>
      </c>
      <c r="AB540" s="43">
        <v>2</v>
      </c>
      <c r="AC540" s="41">
        <f t="shared" si="1016"/>
        <v>1492</v>
      </c>
      <c r="AD540" s="41">
        <v>0</v>
      </c>
      <c r="AE540" s="41">
        <f t="shared" si="1017"/>
        <v>0</v>
      </c>
      <c r="AF540" s="41">
        <v>0</v>
      </c>
      <c r="AG540" s="41">
        <f t="shared" si="1018"/>
        <v>0</v>
      </c>
      <c r="AH540" s="41">
        <v>0</v>
      </c>
      <c r="AI540" s="41">
        <f t="shared" si="1019"/>
        <v>0</v>
      </c>
      <c r="AJ540" s="41">
        <v>0</v>
      </c>
      <c r="AK540" s="41">
        <f t="shared" si="1020"/>
        <v>0</v>
      </c>
      <c r="AL540" s="33">
        <f t="shared" si="971"/>
        <v>4476</v>
      </c>
    </row>
    <row r="541" spans="2:38" ht="57.75" x14ac:dyDescent="0.25">
      <c r="B541" s="49">
        <v>35501</v>
      </c>
      <c r="C541" s="49" t="s">
        <v>443</v>
      </c>
      <c r="D541" s="49">
        <v>0</v>
      </c>
      <c r="E541" s="49">
        <v>6</v>
      </c>
      <c r="F541" s="49" t="s">
        <v>385</v>
      </c>
      <c r="G541" s="64" t="s">
        <v>282</v>
      </c>
      <c r="H541" s="28" t="s">
        <v>43</v>
      </c>
      <c r="I541" s="143" t="s">
        <v>44</v>
      </c>
      <c r="J541" s="144"/>
      <c r="K541" s="50">
        <v>1090.5</v>
      </c>
      <c r="L541" s="50">
        <f t="shared" si="1008"/>
        <v>6543</v>
      </c>
      <c r="N541" s="41">
        <v>0</v>
      </c>
      <c r="O541" s="41">
        <f t="shared" si="1009"/>
        <v>0</v>
      </c>
      <c r="P541" s="41">
        <v>2</v>
      </c>
      <c r="Q541" s="41">
        <f t="shared" si="1010"/>
        <v>2181</v>
      </c>
      <c r="R541" s="41">
        <v>0</v>
      </c>
      <c r="S541" s="41">
        <f t="shared" si="1011"/>
        <v>0</v>
      </c>
      <c r="T541" s="43">
        <v>0</v>
      </c>
      <c r="U541" s="41">
        <f t="shared" si="1012"/>
        <v>0</v>
      </c>
      <c r="V541" s="41">
        <v>2</v>
      </c>
      <c r="W541" s="41">
        <f t="shared" si="1013"/>
        <v>2181</v>
      </c>
      <c r="X541" s="43">
        <v>0</v>
      </c>
      <c r="Y541" s="41">
        <f t="shared" si="1014"/>
        <v>0</v>
      </c>
      <c r="Z541" s="43">
        <v>0</v>
      </c>
      <c r="AA541" s="41">
        <f t="shared" si="1015"/>
        <v>0</v>
      </c>
      <c r="AB541" s="43">
        <v>2</v>
      </c>
      <c r="AC541" s="41">
        <f t="shared" si="1016"/>
        <v>2181</v>
      </c>
      <c r="AD541" s="41">
        <v>0</v>
      </c>
      <c r="AE541" s="41">
        <v>0</v>
      </c>
      <c r="AF541" s="41">
        <v>0</v>
      </c>
      <c r="AG541" s="41">
        <f t="shared" si="1018"/>
        <v>0</v>
      </c>
      <c r="AH541" s="41">
        <v>0</v>
      </c>
      <c r="AI541" s="41">
        <f t="shared" si="1019"/>
        <v>0</v>
      </c>
      <c r="AJ541" s="41">
        <v>0</v>
      </c>
      <c r="AK541" s="41">
        <f t="shared" si="1020"/>
        <v>0</v>
      </c>
      <c r="AL541" s="33">
        <f t="shared" si="971"/>
        <v>6543</v>
      </c>
    </row>
    <row r="542" spans="2:38" ht="57.75" x14ac:dyDescent="0.25">
      <c r="B542" s="49">
        <v>35501</v>
      </c>
      <c r="C542" s="49" t="s">
        <v>444</v>
      </c>
      <c r="D542" s="49">
        <v>0</v>
      </c>
      <c r="E542" s="49">
        <v>6</v>
      </c>
      <c r="F542" s="49" t="s">
        <v>385</v>
      </c>
      <c r="G542" s="64" t="s">
        <v>282</v>
      </c>
      <c r="H542" s="28" t="s">
        <v>43</v>
      </c>
      <c r="I542" s="143" t="s">
        <v>44</v>
      </c>
      <c r="J542" s="144"/>
      <c r="K542" s="50">
        <v>1705</v>
      </c>
      <c r="L542" s="50">
        <f t="shared" si="1008"/>
        <v>10230</v>
      </c>
      <c r="N542" s="41">
        <v>0</v>
      </c>
      <c r="O542" s="41">
        <f t="shared" si="1009"/>
        <v>0</v>
      </c>
      <c r="P542" s="41">
        <v>2</v>
      </c>
      <c r="Q542" s="41">
        <f t="shared" si="1010"/>
        <v>3410</v>
      </c>
      <c r="R542" s="41">
        <v>0</v>
      </c>
      <c r="S542" s="41">
        <f t="shared" si="1011"/>
        <v>0</v>
      </c>
      <c r="T542" s="43">
        <v>0</v>
      </c>
      <c r="U542" s="41">
        <f t="shared" si="1012"/>
        <v>0</v>
      </c>
      <c r="V542" s="41">
        <v>2</v>
      </c>
      <c r="W542" s="41">
        <f t="shared" si="1013"/>
        <v>3410</v>
      </c>
      <c r="X542" s="43">
        <v>0</v>
      </c>
      <c r="Y542" s="41">
        <f t="shared" si="1014"/>
        <v>0</v>
      </c>
      <c r="Z542" s="43">
        <f t="shared" ref="Z542" si="1022">E542/12</f>
        <v>0.5</v>
      </c>
      <c r="AA542" s="41">
        <v>0</v>
      </c>
      <c r="AB542" s="43">
        <v>0</v>
      </c>
      <c r="AC542" s="41">
        <f t="shared" si="1016"/>
        <v>0</v>
      </c>
      <c r="AD542" s="41">
        <v>0</v>
      </c>
      <c r="AE542" s="41">
        <f t="shared" si="1017"/>
        <v>0</v>
      </c>
      <c r="AF542" s="41">
        <v>0</v>
      </c>
      <c r="AG542" s="41">
        <f t="shared" si="1018"/>
        <v>0</v>
      </c>
      <c r="AH542" s="41">
        <v>0</v>
      </c>
      <c r="AI542" s="41">
        <f t="shared" si="1019"/>
        <v>0</v>
      </c>
      <c r="AJ542" s="41">
        <v>0</v>
      </c>
      <c r="AK542" s="41">
        <f t="shared" si="1020"/>
        <v>0</v>
      </c>
      <c r="AL542" s="33">
        <f t="shared" si="971"/>
        <v>6820</v>
      </c>
    </row>
    <row r="543" spans="2:38" x14ac:dyDescent="0.25">
      <c r="B543" s="19">
        <v>35700</v>
      </c>
      <c r="C543" s="19"/>
      <c r="D543" s="19"/>
      <c r="E543" s="19"/>
      <c r="F543" s="19"/>
      <c r="G543" s="58"/>
      <c r="H543" s="59"/>
      <c r="I543" s="95"/>
      <c r="J543" s="95"/>
      <c r="K543" s="20"/>
      <c r="L543" s="21">
        <f>L544+L545</f>
        <v>4001</v>
      </c>
      <c r="N543" s="41"/>
      <c r="O543" s="41"/>
      <c r="P543" s="41"/>
      <c r="Q543" s="41"/>
      <c r="R543" s="41"/>
      <c r="S543" s="41"/>
      <c r="T543" s="43"/>
      <c r="U543" s="41"/>
      <c r="V543" s="41"/>
      <c r="W543" s="41"/>
      <c r="X543" s="43"/>
      <c r="Y543" s="41"/>
      <c r="Z543" s="43"/>
      <c r="AA543" s="41"/>
      <c r="AB543" s="43"/>
      <c r="AC543" s="41"/>
      <c r="AD543" s="41"/>
      <c r="AE543" s="41"/>
      <c r="AF543" s="41"/>
      <c r="AG543" s="41"/>
      <c r="AH543" s="41"/>
      <c r="AI543" s="41"/>
      <c r="AJ543" s="41"/>
      <c r="AK543" s="41"/>
      <c r="AL543" s="33"/>
    </row>
    <row r="544" spans="2:38" ht="57.75" x14ac:dyDescent="0.25">
      <c r="B544" s="49">
        <v>35701</v>
      </c>
      <c r="C544" s="49" t="s">
        <v>445</v>
      </c>
      <c r="D544" s="49">
        <v>0</v>
      </c>
      <c r="E544" s="49">
        <v>2</v>
      </c>
      <c r="F544" s="49" t="s">
        <v>385</v>
      </c>
      <c r="G544" s="64" t="s">
        <v>398</v>
      </c>
      <c r="H544" s="28" t="s">
        <v>43</v>
      </c>
      <c r="I544" s="143" t="s">
        <v>44</v>
      </c>
      <c r="J544" s="144"/>
      <c r="K544" s="50">
        <v>2000</v>
      </c>
      <c r="L544" s="50">
        <f>E544*K544</f>
        <v>4000</v>
      </c>
      <c r="N544" s="41"/>
      <c r="O544" s="41"/>
      <c r="P544" s="41"/>
      <c r="Q544" s="41"/>
      <c r="R544" s="41"/>
      <c r="S544" s="41"/>
      <c r="T544" s="43">
        <v>1</v>
      </c>
      <c r="U544" s="41">
        <f>T544*K544</f>
        <v>2000</v>
      </c>
      <c r="V544" s="41"/>
      <c r="W544" s="41"/>
      <c r="X544" s="43"/>
      <c r="Y544" s="41"/>
      <c r="Z544" s="43"/>
      <c r="AA544" s="41">
        <v>1</v>
      </c>
      <c r="AB544" s="43">
        <f>AA544*K544</f>
        <v>2000</v>
      </c>
      <c r="AC544" s="41"/>
      <c r="AD544" s="41"/>
      <c r="AE544" s="41"/>
      <c r="AF544" s="41"/>
      <c r="AG544" s="41"/>
      <c r="AH544" s="41"/>
      <c r="AI544" s="41"/>
      <c r="AJ544" s="41"/>
      <c r="AK544" s="41"/>
      <c r="AL544" s="33">
        <f t="shared" si="971"/>
        <v>2001</v>
      </c>
    </row>
    <row r="545" spans="2:38" ht="57.75" x14ac:dyDescent="0.25">
      <c r="B545" s="49">
        <v>35702</v>
      </c>
      <c r="C545" s="49" t="s">
        <v>531</v>
      </c>
      <c r="D545" s="49">
        <v>0</v>
      </c>
      <c r="E545" s="49">
        <v>1</v>
      </c>
      <c r="F545" s="49" t="s">
        <v>385</v>
      </c>
      <c r="G545" s="64" t="s">
        <v>398</v>
      </c>
      <c r="H545" s="28" t="s">
        <v>43</v>
      </c>
      <c r="I545" s="143" t="s">
        <v>44</v>
      </c>
      <c r="J545" s="144"/>
      <c r="K545" s="50">
        <v>1</v>
      </c>
      <c r="L545" s="50">
        <f>E545*K545</f>
        <v>1</v>
      </c>
      <c r="N545" s="41"/>
      <c r="O545" s="41"/>
      <c r="P545" s="41"/>
      <c r="Q545" s="41"/>
      <c r="R545" s="41"/>
      <c r="S545" s="41"/>
      <c r="T545" s="43"/>
      <c r="U545" s="41"/>
      <c r="V545" s="41"/>
      <c r="W545" s="41"/>
      <c r="X545" s="43"/>
      <c r="Y545" s="41"/>
      <c r="Z545" s="43"/>
      <c r="AA545" s="41"/>
      <c r="AB545" s="43"/>
      <c r="AC545" s="41"/>
      <c r="AD545" s="41"/>
      <c r="AE545" s="41"/>
      <c r="AF545" s="41"/>
      <c r="AG545" s="41"/>
      <c r="AH545" s="41"/>
      <c r="AI545" s="41"/>
      <c r="AJ545" s="41"/>
      <c r="AK545" s="41"/>
      <c r="AL545" s="33"/>
    </row>
    <row r="546" spans="2:38" x14ac:dyDescent="0.25">
      <c r="B546" s="19">
        <v>35800</v>
      </c>
      <c r="C546" s="19"/>
      <c r="D546" s="19"/>
      <c r="E546" s="19"/>
      <c r="F546" s="19"/>
      <c r="G546" s="58"/>
      <c r="H546" s="59"/>
      <c r="I546" s="95"/>
      <c r="J546" s="95"/>
      <c r="K546" s="20"/>
      <c r="L546" s="21">
        <f>L547</f>
        <v>1</v>
      </c>
      <c r="N546" s="41"/>
      <c r="O546" s="41"/>
      <c r="P546" s="41"/>
      <c r="Q546" s="41"/>
      <c r="R546" s="41"/>
      <c r="S546" s="41"/>
      <c r="T546" s="43"/>
      <c r="U546" s="41"/>
      <c r="V546" s="41"/>
      <c r="W546" s="41"/>
      <c r="X546" s="43"/>
      <c r="Y546" s="41"/>
      <c r="Z546" s="43"/>
      <c r="AA546" s="41"/>
      <c r="AB546" s="43"/>
      <c r="AC546" s="41"/>
      <c r="AD546" s="41"/>
      <c r="AE546" s="41"/>
      <c r="AF546" s="41"/>
      <c r="AG546" s="41"/>
      <c r="AH546" s="41"/>
      <c r="AI546" s="41"/>
      <c r="AJ546" s="41"/>
      <c r="AK546" s="41"/>
      <c r="AL546" s="33"/>
    </row>
    <row r="547" spans="2:38" ht="57.75" x14ac:dyDescent="0.25">
      <c r="B547" s="49">
        <v>35801</v>
      </c>
      <c r="C547" s="49" t="s">
        <v>532</v>
      </c>
      <c r="D547" s="49">
        <v>0</v>
      </c>
      <c r="E547" s="49">
        <v>1</v>
      </c>
      <c r="F547" s="49" t="s">
        <v>385</v>
      </c>
      <c r="G547" s="64" t="s">
        <v>447</v>
      </c>
      <c r="H547" s="28" t="s">
        <v>43</v>
      </c>
      <c r="I547" s="143" t="s">
        <v>44</v>
      </c>
      <c r="J547" s="144"/>
      <c r="K547" s="50">
        <v>1</v>
      </c>
      <c r="L547" s="50">
        <f>E547*K547</f>
        <v>1</v>
      </c>
      <c r="N547" s="41"/>
      <c r="O547" s="41"/>
      <c r="P547" s="41"/>
      <c r="Q547" s="41"/>
      <c r="R547" s="41">
        <v>1</v>
      </c>
      <c r="S547" s="41">
        <f>R547*K547</f>
        <v>1</v>
      </c>
      <c r="T547" s="43"/>
      <c r="U547" s="41"/>
      <c r="V547" s="41"/>
      <c r="W547" s="41"/>
      <c r="X547" s="43"/>
      <c r="Y547" s="41"/>
      <c r="Z547" s="43"/>
      <c r="AA547" s="41"/>
      <c r="AB547" s="43"/>
      <c r="AC547" s="41"/>
      <c r="AD547" s="41"/>
      <c r="AE547" s="41"/>
      <c r="AF547" s="41">
        <v>1</v>
      </c>
      <c r="AG547" s="41">
        <f>AF547*K547</f>
        <v>1</v>
      </c>
      <c r="AH547" s="41"/>
      <c r="AI547" s="41"/>
      <c r="AJ547" s="41"/>
      <c r="AK547" s="41"/>
      <c r="AL547" s="33">
        <f t="shared" ref="AL547" si="1023">O547+Q547+S547+U547+W547+Y547+AA547+AC547+AE547+AG547+AI547+AK547</f>
        <v>2</v>
      </c>
    </row>
    <row r="548" spans="2:38" x14ac:dyDescent="0.25">
      <c r="B548" s="19">
        <v>35900</v>
      </c>
      <c r="C548" s="19"/>
      <c r="D548" s="19"/>
      <c r="E548" s="19"/>
      <c r="F548" s="19"/>
      <c r="G548" s="58"/>
      <c r="H548" s="59"/>
      <c r="I548" s="95"/>
      <c r="J548" s="95"/>
      <c r="K548" s="20"/>
      <c r="L548" s="21">
        <f>L549</f>
        <v>11001</v>
      </c>
      <c r="N548" s="41"/>
      <c r="O548" s="41"/>
      <c r="P548" s="41"/>
      <c r="Q548" s="41"/>
      <c r="R548" s="41"/>
      <c r="S548" s="41"/>
      <c r="T548" s="43"/>
      <c r="U548" s="41"/>
      <c r="V548" s="41"/>
      <c r="W548" s="41"/>
      <c r="X548" s="43"/>
      <c r="Y548" s="41"/>
      <c r="Z548" s="43"/>
      <c r="AA548" s="41"/>
      <c r="AB548" s="43"/>
      <c r="AC548" s="41"/>
      <c r="AD548" s="41"/>
      <c r="AE548" s="41"/>
      <c r="AF548" s="41"/>
      <c r="AG548" s="41"/>
      <c r="AH548" s="41"/>
      <c r="AI548" s="41"/>
      <c r="AJ548" s="41"/>
      <c r="AK548" s="41"/>
      <c r="AL548" s="33"/>
    </row>
    <row r="549" spans="2:38" ht="57.75" x14ac:dyDescent="0.25">
      <c r="B549" s="49">
        <v>35901</v>
      </c>
      <c r="C549" s="49" t="s">
        <v>446</v>
      </c>
      <c r="D549" s="49">
        <v>0</v>
      </c>
      <c r="E549" s="49">
        <v>2</v>
      </c>
      <c r="F549" s="49" t="s">
        <v>385</v>
      </c>
      <c r="G549" s="64" t="s">
        <v>447</v>
      </c>
      <c r="H549" s="28" t="s">
        <v>43</v>
      </c>
      <c r="I549" s="143" t="s">
        <v>44</v>
      </c>
      <c r="J549" s="144"/>
      <c r="K549" s="50">
        <v>5500.5</v>
      </c>
      <c r="L549" s="50">
        <f>E549*K549</f>
        <v>11001</v>
      </c>
      <c r="N549" s="41"/>
      <c r="O549" s="41"/>
      <c r="P549" s="41"/>
      <c r="Q549" s="41"/>
      <c r="R549" s="41">
        <v>1</v>
      </c>
      <c r="S549" s="41">
        <f>R549*K549</f>
        <v>5500.5</v>
      </c>
      <c r="T549" s="43"/>
      <c r="U549" s="41"/>
      <c r="V549" s="41"/>
      <c r="W549" s="41"/>
      <c r="X549" s="43"/>
      <c r="Y549" s="41"/>
      <c r="Z549" s="43"/>
      <c r="AA549" s="41"/>
      <c r="AB549" s="43"/>
      <c r="AC549" s="41"/>
      <c r="AD549" s="41"/>
      <c r="AE549" s="41"/>
      <c r="AF549" s="41">
        <v>1</v>
      </c>
      <c r="AG549" s="41">
        <f>AF549*K549</f>
        <v>5500.5</v>
      </c>
      <c r="AH549" s="41"/>
      <c r="AI549" s="41"/>
      <c r="AJ549" s="41"/>
      <c r="AK549" s="41"/>
      <c r="AL549" s="33">
        <f t="shared" si="971"/>
        <v>11001</v>
      </c>
    </row>
    <row r="550" spans="2:38" x14ac:dyDescent="0.25">
      <c r="B550" s="19">
        <v>37000</v>
      </c>
      <c r="C550" s="19"/>
      <c r="D550" s="19"/>
      <c r="E550" s="19"/>
      <c r="F550" s="19"/>
      <c r="G550" s="58"/>
      <c r="H550" s="68"/>
      <c r="I550" s="95"/>
      <c r="J550" s="95"/>
      <c r="K550" s="20"/>
      <c r="L550" s="21">
        <f>L551+L553+L555+L557</f>
        <v>466801.13</v>
      </c>
      <c r="M550" s="60" t="e">
        <f>M551+M553+M555</f>
        <v>#REF!</v>
      </c>
      <c r="N550" s="41"/>
      <c r="O550" s="41"/>
      <c r="P550" s="41"/>
      <c r="Q550" s="41"/>
      <c r="R550" s="41"/>
      <c r="S550" s="41"/>
      <c r="T550" s="43"/>
      <c r="U550" s="41"/>
      <c r="V550" s="41"/>
      <c r="W550" s="41"/>
      <c r="X550" s="43"/>
      <c r="Y550" s="41"/>
      <c r="Z550" s="43"/>
      <c r="AA550" s="41"/>
      <c r="AB550" s="43"/>
      <c r="AC550" s="41"/>
      <c r="AD550" s="41"/>
      <c r="AE550" s="41"/>
      <c r="AF550" s="41"/>
      <c r="AG550" s="41"/>
      <c r="AH550" s="41"/>
      <c r="AI550" s="41"/>
      <c r="AJ550" s="41"/>
      <c r="AK550" s="41"/>
      <c r="AL550" s="33"/>
    </row>
    <row r="551" spans="2:38" x14ac:dyDescent="0.25">
      <c r="B551" s="19">
        <v>37100</v>
      </c>
      <c r="C551" s="19"/>
      <c r="D551" s="19"/>
      <c r="E551" s="19"/>
      <c r="F551" s="19"/>
      <c r="G551" s="58"/>
      <c r="H551" s="59"/>
      <c r="I551" s="95"/>
      <c r="J551" s="95"/>
      <c r="K551" s="20"/>
      <c r="L551" s="21">
        <f>L552</f>
        <v>66500</v>
      </c>
      <c r="M551" s="60">
        <f>M552</f>
        <v>50000</v>
      </c>
      <c r="N551" s="41"/>
      <c r="O551" s="41"/>
      <c r="P551" s="41"/>
      <c r="Q551" s="41"/>
      <c r="R551" s="41"/>
      <c r="S551" s="41"/>
      <c r="T551" s="43"/>
      <c r="U551" s="41"/>
      <c r="V551" s="41"/>
      <c r="W551" s="41"/>
      <c r="X551" s="43"/>
      <c r="Y551" s="41"/>
      <c r="Z551" s="43"/>
      <c r="AA551" s="41"/>
      <c r="AB551" s="43"/>
      <c r="AC551" s="41"/>
      <c r="AD551" s="41"/>
      <c r="AE551" s="41"/>
      <c r="AF551" s="41"/>
      <c r="AG551" s="41"/>
      <c r="AH551" s="41"/>
      <c r="AI551" s="41"/>
      <c r="AJ551" s="41"/>
      <c r="AK551" s="41"/>
      <c r="AL551" s="33"/>
    </row>
    <row r="552" spans="2:38" ht="57.75" x14ac:dyDescent="0.25">
      <c r="B552" s="49">
        <v>37101</v>
      </c>
      <c r="C552" s="49" t="s">
        <v>448</v>
      </c>
      <c r="D552" s="49">
        <v>0</v>
      </c>
      <c r="E552" s="49">
        <v>1</v>
      </c>
      <c r="F552" s="49" t="s">
        <v>449</v>
      </c>
      <c r="G552" s="64" t="s">
        <v>450</v>
      </c>
      <c r="H552" s="28" t="s">
        <v>43</v>
      </c>
      <c r="I552" s="143" t="s">
        <v>44</v>
      </c>
      <c r="J552" s="144"/>
      <c r="K552" s="50">
        <v>66500</v>
      </c>
      <c r="L552" s="50">
        <f>E552*K552</f>
        <v>66500</v>
      </c>
      <c r="M552" s="1">
        <v>50000</v>
      </c>
      <c r="N552" s="41">
        <v>0</v>
      </c>
      <c r="O552" s="41">
        <f t="shared" ref="O552" si="1024">N552*K552</f>
        <v>0</v>
      </c>
      <c r="P552" s="41">
        <v>0</v>
      </c>
      <c r="Q552" s="41">
        <f t="shared" ref="Q552" si="1025">K552*P552</f>
        <v>0</v>
      </c>
      <c r="R552" s="41">
        <v>0</v>
      </c>
      <c r="S552" s="41">
        <f t="shared" ref="S552" si="1026">K552*R552</f>
        <v>0</v>
      </c>
      <c r="T552" s="43">
        <v>4</v>
      </c>
      <c r="U552" s="41">
        <f t="shared" ref="U552" si="1027">K552*T552</f>
        <v>266000</v>
      </c>
      <c r="V552" s="41">
        <v>0</v>
      </c>
      <c r="W552" s="41">
        <f t="shared" ref="W552" si="1028">K552*V552</f>
        <v>0</v>
      </c>
      <c r="X552" s="43">
        <v>4</v>
      </c>
      <c r="Y552" s="41">
        <f t="shared" ref="Y552" si="1029">K552*X552</f>
        <v>266000</v>
      </c>
      <c r="Z552" s="43">
        <v>0</v>
      </c>
      <c r="AA552" s="41">
        <f t="shared" ref="AA552" si="1030">K552*Z552</f>
        <v>0</v>
      </c>
      <c r="AB552" s="43">
        <v>0</v>
      </c>
      <c r="AC552" s="41">
        <f t="shared" ref="AC552" si="1031">K552*AB552</f>
        <v>0</v>
      </c>
      <c r="AD552" s="41">
        <v>2</v>
      </c>
      <c r="AE552" s="41">
        <f t="shared" ref="AE552" si="1032">K552*AD552</f>
        <v>133000</v>
      </c>
      <c r="AF552" s="41">
        <v>0</v>
      </c>
      <c r="AG552" s="41">
        <f t="shared" ref="AG552" si="1033">K552*AF552</f>
        <v>0</v>
      </c>
      <c r="AH552" s="41">
        <v>0</v>
      </c>
      <c r="AI552" s="41">
        <f t="shared" ref="AI552" si="1034">K552*AH552</f>
        <v>0</v>
      </c>
      <c r="AJ552" s="41">
        <v>0</v>
      </c>
      <c r="AK552" s="41">
        <f t="shared" ref="AK552" si="1035">K552*AJ552</f>
        <v>0</v>
      </c>
      <c r="AL552" s="33">
        <f t="shared" si="971"/>
        <v>665000</v>
      </c>
    </row>
    <row r="553" spans="2:38" x14ac:dyDescent="0.25">
      <c r="B553" s="19">
        <v>37200</v>
      </c>
      <c r="C553" s="19"/>
      <c r="D553" s="19"/>
      <c r="E553" s="19"/>
      <c r="F553" s="19"/>
      <c r="G553" s="58"/>
      <c r="H553" s="59"/>
      <c r="I553" s="95"/>
      <c r="J553" s="95"/>
      <c r="K553" s="20"/>
      <c r="L553" s="21">
        <f>+L554</f>
        <v>111011</v>
      </c>
      <c r="M553" s="60" t="e">
        <f>M554+#REF!</f>
        <v>#REF!</v>
      </c>
      <c r="N553" s="41"/>
      <c r="O553" s="41"/>
      <c r="P553" s="41"/>
      <c r="Q553" s="41"/>
      <c r="R553" s="41"/>
      <c r="S553" s="41"/>
      <c r="T553" s="43"/>
      <c r="U553" s="41"/>
      <c r="V553" s="41"/>
      <c r="W553" s="41"/>
      <c r="X553" s="43"/>
      <c r="Y553" s="41"/>
      <c r="Z553" s="43"/>
      <c r="AA553" s="41"/>
      <c r="AB553" s="43"/>
      <c r="AC553" s="41"/>
      <c r="AD553" s="41"/>
      <c r="AE553" s="41"/>
      <c r="AF553" s="41"/>
      <c r="AG553" s="41"/>
      <c r="AH553" s="41"/>
      <c r="AI553" s="41"/>
      <c r="AJ553" s="41"/>
      <c r="AK553" s="41"/>
      <c r="AL553" s="33"/>
    </row>
    <row r="554" spans="2:38" ht="57.75" x14ac:dyDescent="0.25">
      <c r="B554" s="26">
        <v>37201</v>
      </c>
      <c r="C554" s="26" t="s">
        <v>451</v>
      </c>
      <c r="D554" s="49">
        <v>0</v>
      </c>
      <c r="E554" s="26">
        <v>1</v>
      </c>
      <c r="F554" s="26" t="s">
        <v>452</v>
      </c>
      <c r="G554" s="62" t="s">
        <v>89</v>
      </c>
      <c r="H554" s="80" t="s">
        <v>43</v>
      </c>
      <c r="I554" s="143" t="s">
        <v>44</v>
      </c>
      <c r="J554" s="144"/>
      <c r="K554" s="81">
        <v>111011</v>
      </c>
      <c r="L554" s="81">
        <f>E554*K554</f>
        <v>111011</v>
      </c>
      <c r="M554" s="1">
        <v>45000</v>
      </c>
      <c r="N554" s="41">
        <f t="shared" ref="N554" si="1036">E554/12</f>
        <v>8.3333333333333329E-2</v>
      </c>
      <c r="O554" s="41">
        <f t="shared" ref="O554" si="1037">N554*K554</f>
        <v>9250.9166666666661</v>
      </c>
      <c r="P554" s="41">
        <f t="shared" ref="P554" si="1038">E554/12</f>
        <v>8.3333333333333329E-2</v>
      </c>
      <c r="Q554" s="41">
        <f t="shared" ref="Q554" si="1039">K554*P554</f>
        <v>9250.9166666666661</v>
      </c>
      <c r="R554" s="41">
        <f t="shared" ref="R554" si="1040">E554/12</f>
        <v>8.3333333333333329E-2</v>
      </c>
      <c r="S554" s="41">
        <f t="shared" ref="S554" si="1041">K554*R554</f>
        <v>9250.9166666666661</v>
      </c>
      <c r="T554" s="43">
        <f t="shared" ref="T554" si="1042">E554/12</f>
        <v>8.3333333333333329E-2</v>
      </c>
      <c r="U554" s="41">
        <f t="shared" ref="U554" si="1043">K554*T554</f>
        <v>9250.9166666666661</v>
      </c>
      <c r="V554" s="41">
        <f t="shared" ref="V554" si="1044">E554/12</f>
        <v>8.3333333333333329E-2</v>
      </c>
      <c r="W554" s="41">
        <f t="shared" ref="W554" si="1045">K554*V554</f>
        <v>9250.9166666666661</v>
      </c>
      <c r="X554" s="43">
        <f t="shared" ref="X554" si="1046">E554/12</f>
        <v>8.3333333333333329E-2</v>
      </c>
      <c r="Y554" s="41">
        <f t="shared" ref="Y554" si="1047">K554*X554</f>
        <v>9250.9166666666661</v>
      </c>
      <c r="Z554" s="43">
        <f t="shared" ref="Z554" si="1048">E554/12</f>
        <v>8.3333333333333329E-2</v>
      </c>
      <c r="AA554" s="41">
        <f t="shared" ref="AA554" si="1049">K554*Z554</f>
        <v>9250.9166666666661</v>
      </c>
      <c r="AB554" s="43">
        <f t="shared" ref="AB554" si="1050">E554/12</f>
        <v>8.3333333333333329E-2</v>
      </c>
      <c r="AC554" s="41">
        <f t="shared" ref="AC554" si="1051">K554*AB554</f>
        <v>9250.9166666666661</v>
      </c>
      <c r="AD554" s="41">
        <f t="shared" ref="AD554" si="1052">E554/12</f>
        <v>8.3333333333333329E-2</v>
      </c>
      <c r="AE554" s="41">
        <f t="shared" ref="AE554" si="1053">K554*AD554</f>
        <v>9250.9166666666661</v>
      </c>
      <c r="AF554" s="41">
        <f t="shared" ref="AF554" si="1054">E554/12</f>
        <v>8.3333333333333329E-2</v>
      </c>
      <c r="AG554" s="41">
        <f t="shared" ref="AG554" si="1055">K554*AF554</f>
        <v>9250.9166666666661</v>
      </c>
      <c r="AH554" s="41">
        <f t="shared" ref="AH554" si="1056">E554/12</f>
        <v>8.3333333333333329E-2</v>
      </c>
      <c r="AI554" s="41">
        <f t="shared" ref="AI554" si="1057">K554*AH554</f>
        <v>9250.9166666666661</v>
      </c>
      <c r="AJ554" s="41">
        <f t="shared" ref="AJ554" si="1058">E554/12</f>
        <v>8.3333333333333329E-2</v>
      </c>
      <c r="AK554" s="41">
        <f t="shared" ref="AK554" si="1059">K554*AJ554</f>
        <v>9250.9166666666661</v>
      </c>
      <c r="AL554" s="33">
        <f t="shared" si="971"/>
        <v>111011.00000000001</v>
      </c>
    </row>
    <row r="555" spans="2:38" x14ac:dyDescent="0.25">
      <c r="B555" s="19">
        <v>37500</v>
      </c>
      <c r="C555" s="19"/>
      <c r="D555" s="19"/>
      <c r="E555" s="19"/>
      <c r="F555" s="19"/>
      <c r="G555" s="58"/>
      <c r="H555" s="59"/>
      <c r="I555" s="95"/>
      <c r="J555" s="95"/>
      <c r="K555" s="20"/>
      <c r="L555" s="21">
        <f>L556</f>
        <v>287289.13</v>
      </c>
      <c r="M555" s="60">
        <f>M556</f>
        <v>85001</v>
      </c>
      <c r="N555" s="41"/>
      <c r="O555" s="41"/>
      <c r="P555" s="41"/>
      <c r="Q555" s="41"/>
      <c r="R555" s="41"/>
      <c r="S555" s="41"/>
      <c r="T555" s="43"/>
      <c r="U555" s="41"/>
      <c r="V555" s="41"/>
      <c r="W555" s="41"/>
      <c r="X555" s="43"/>
      <c r="Y555" s="41"/>
      <c r="Z555" s="43"/>
      <c r="AA555" s="41"/>
      <c r="AB555" s="43"/>
      <c r="AC555" s="41"/>
      <c r="AD555" s="41"/>
      <c r="AE555" s="41"/>
      <c r="AF555" s="41"/>
      <c r="AG555" s="41"/>
      <c r="AH555" s="41"/>
      <c r="AI555" s="41"/>
      <c r="AJ555" s="41"/>
      <c r="AK555" s="41"/>
      <c r="AL555" s="33"/>
    </row>
    <row r="556" spans="2:38" ht="57.75" x14ac:dyDescent="0.25">
      <c r="B556" s="49">
        <v>37501</v>
      </c>
      <c r="C556" s="49" t="s">
        <v>453</v>
      </c>
      <c r="D556" s="49">
        <v>0</v>
      </c>
      <c r="E556" s="49">
        <v>1</v>
      </c>
      <c r="F556" s="49" t="s">
        <v>454</v>
      </c>
      <c r="G556" s="64" t="s">
        <v>89</v>
      </c>
      <c r="H556" s="28" t="s">
        <v>43</v>
      </c>
      <c r="I556" s="143" t="s">
        <v>44</v>
      </c>
      <c r="J556" s="144"/>
      <c r="K556" s="50">
        <v>287289.13</v>
      </c>
      <c r="L556" s="50">
        <f>E556*K556</f>
        <v>287289.13</v>
      </c>
      <c r="M556" s="1">
        <v>85001</v>
      </c>
      <c r="N556" s="41">
        <f t="shared" ref="N556" si="1060">E556/12</f>
        <v>8.3333333333333329E-2</v>
      </c>
      <c r="O556" s="41">
        <f t="shared" ref="O556" si="1061">N556*K556</f>
        <v>23940.760833333334</v>
      </c>
      <c r="P556" s="41">
        <f t="shared" ref="P556" si="1062">E556/12</f>
        <v>8.3333333333333329E-2</v>
      </c>
      <c r="Q556" s="41">
        <f t="shared" ref="Q556" si="1063">K556*P556</f>
        <v>23940.760833333334</v>
      </c>
      <c r="R556" s="41">
        <f t="shared" ref="R556" si="1064">E556/12</f>
        <v>8.3333333333333329E-2</v>
      </c>
      <c r="S556" s="41">
        <f t="shared" ref="S556" si="1065">K556*R556</f>
        <v>23940.760833333334</v>
      </c>
      <c r="T556" s="43">
        <f t="shared" ref="T556" si="1066">E556/12</f>
        <v>8.3333333333333329E-2</v>
      </c>
      <c r="U556" s="41">
        <f t="shared" ref="U556" si="1067">K556*T556</f>
        <v>23940.760833333334</v>
      </c>
      <c r="V556" s="41">
        <f t="shared" ref="V556" si="1068">E556/12</f>
        <v>8.3333333333333329E-2</v>
      </c>
      <c r="W556" s="41">
        <f t="shared" ref="W556" si="1069">K556*V556</f>
        <v>23940.760833333334</v>
      </c>
      <c r="X556" s="43">
        <f t="shared" ref="X556" si="1070">E556/12</f>
        <v>8.3333333333333329E-2</v>
      </c>
      <c r="Y556" s="41">
        <f t="shared" ref="Y556" si="1071">K556*X556</f>
        <v>23940.760833333334</v>
      </c>
      <c r="Z556" s="43">
        <f t="shared" ref="Z556" si="1072">E556/12</f>
        <v>8.3333333333333329E-2</v>
      </c>
      <c r="AA556" s="41">
        <f t="shared" ref="AA556" si="1073">K556*Z556</f>
        <v>23940.760833333334</v>
      </c>
      <c r="AB556" s="43">
        <f t="shared" ref="AB556" si="1074">E556/12</f>
        <v>8.3333333333333329E-2</v>
      </c>
      <c r="AC556" s="41">
        <f t="shared" ref="AC556" si="1075">K556*AB556</f>
        <v>23940.760833333334</v>
      </c>
      <c r="AD556" s="41">
        <f t="shared" ref="AD556" si="1076">E556/12</f>
        <v>8.3333333333333329E-2</v>
      </c>
      <c r="AE556" s="41">
        <f t="shared" ref="AE556" si="1077">K556*AD556</f>
        <v>23940.760833333334</v>
      </c>
      <c r="AF556" s="41">
        <f t="shared" ref="AF556" si="1078">E556/12</f>
        <v>8.3333333333333329E-2</v>
      </c>
      <c r="AG556" s="41">
        <f t="shared" ref="AG556" si="1079">K556*AF556</f>
        <v>23940.760833333334</v>
      </c>
      <c r="AH556" s="41">
        <f t="shared" ref="AH556" si="1080">E556/12</f>
        <v>8.3333333333333329E-2</v>
      </c>
      <c r="AI556" s="41">
        <f t="shared" ref="AI556" si="1081">K556*AH556</f>
        <v>23940.760833333334</v>
      </c>
      <c r="AJ556" s="41">
        <f t="shared" ref="AJ556" si="1082">E556/12</f>
        <v>8.3333333333333329E-2</v>
      </c>
      <c r="AK556" s="41">
        <f t="shared" ref="AK556" si="1083">K556*AJ556</f>
        <v>23940.760833333334</v>
      </c>
      <c r="AL556" s="33">
        <f t="shared" si="971"/>
        <v>287289.13</v>
      </c>
    </row>
    <row r="557" spans="2:38" x14ac:dyDescent="0.25">
      <c r="B557" s="19">
        <v>37900</v>
      </c>
      <c r="C557" s="19"/>
      <c r="D557" s="19"/>
      <c r="E557" s="19"/>
      <c r="F557" s="19"/>
      <c r="G557" s="58"/>
      <c r="H557" s="59"/>
      <c r="I557" s="95"/>
      <c r="J557" s="95"/>
      <c r="K557" s="20"/>
      <c r="L557" s="21">
        <f>L558</f>
        <v>2001</v>
      </c>
      <c r="N557" s="41"/>
      <c r="O557" s="41"/>
      <c r="P557" s="41"/>
      <c r="Q557" s="41"/>
      <c r="R557" s="41"/>
      <c r="S557" s="41"/>
      <c r="T557" s="43"/>
      <c r="U557" s="41"/>
      <c r="V557" s="41"/>
      <c r="W557" s="41"/>
      <c r="X557" s="43"/>
      <c r="Y557" s="41"/>
      <c r="Z557" s="43"/>
      <c r="AA557" s="41"/>
      <c r="AB557" s="43"/>
      <c r="AC557" s="41"/>
      <c r="AD557" s="41"/>
      <c r="AE557" s="41"/>
      <c r="AF557" s="41"/>
      <c r="AG557" s="41"/>
      <c r="AH557" s="41"/>
      <c r="AI557" s="41"/>
      <c r="AJ557" s="41"/>
      <c r="AK557" s="41"/>
      <c r="AL557" s="33"/>
    </row>
    <row r="558" spans="2:38" ht="57.75" x14ac:dyDescent="0.25">
      <c r="B558" s="49">
        <v>37901</v>
      </c>
      <c r="C558" s="49" t="s">
        <v>455</v>
      </c>
      <c r="D558" s="49">
        <v>0</v>
      </c>
      <c r="E558" s="49">
        <v>1</v>
      </c>
      <c r="F558" s="49" t="s">
        <v>456</v>
      </c>
      <c r="G558" s="64" t="s">
        <v>89</v>
      </c>
      <c r="H558" s="28" t="s">
        <v>43</v>
      </c>
      <c r="I558" s="143" t="s">
        <v>44</v>
      </c>
      <c r="J558" s="144"/>
      <c r="K558" s="50">
        <v>2001</v>
      </c>
      <c r="L558" s="50">
        <f>E558*K558</f>
        <v>2001</v>
      </c>
      <c r="N558" s="41"/>
      <c r="O558" s="41"/>
      <c r="P558" s="41"/>
      <c r="Q558" s="41"/>
      <c r="R558" s="41"/>
      <c r="S558" s="41"/>
      <c r="T558" s="43">
        <v>2</v>
      </c>
      <c r="U558" s="41">
        <f>T558*K558</f>
        <v>4002</v>
      </c>
      <c r="V558" s="41"/>
      <c r="W558" s="41"/>
      <c r="X558" s="43">
        <v>2</v>
      </c>
      <c r="Y558" s="41">
        <f>X558*K558</f>
        <v>4002</v>
      </c>
      <c r="Z558" s="43"/>
      <c r="AA558" s="41"/>
      <c r="AB558" s="43"/>
      <c r="AC558" s="41"/>
      <c r="AD558" s="41">
        <v>2</v>
      </c>
      <c r="AE558" s="41">
        <f>AD558*K558</f>
        <v>4002</v>
      </c>
      <c r="AF558" s="41"/>
      <c r="AG558" s="41"/>
      <c r="AH558" s="41"/>
      <c r="AI558" s="41"/>
      <c r="AJ558" s="41"/>
      <c r="AK558" s="41"/>
      <c r="AL558" s="33">
        <f t="shared" si="971"/>
        <v>12006</v>
      </c>
    </row>
    <row r="559" spans="2:38" x14ac:dyDescent="0.25">
      <c r="B559" s="19">
        <v>38000</v>
      </c>
      <c r="C559" s="19"/>
      <c r="D559" s="19"/>
      <c r="E559" s="19"/>
      <c r="F559" s="19"/>
      <c r="G559" s="58"/>
      <c r="H559" s="59"/>
      <c r="I559" s="95"/>
      <c r="J559" s="95"/>
      <c r="K559" s="20"/>
      <c r="L559" s="21">
        <f>L560+L562+L566</f>
        <v>187421.76</v>
      </c>
      <c r="M559" s="60" t="e">
        <f>M560+M562+#REF!+M566</f>
        <v>#REF!</v>
      </c>
      <c r="N559" s="41"/>
      <c r="O559" s="41"/>
      <c r="P559" s="41"/>
      <c r="Q559" s="41"/>
      <c r="R559" s="41"/>
      <c r="S559" s="41"/>
      <c r="T559" s="43"/>
      <c r="U559" s="41"/>
      <c r="V559" s="41"/>
      <c r="W559" s="41"/>
      <c r="X559" s="43"/>
      <c r="Y559" s="41"/>
      <c r="Z559" s="43"/>
      <c r="AA559" s="41"/>
      <c r="AB559" s="43"/>
      <c r="AC559" s="41"/>
      <c r="AD559" s="41"/>
      <c r="AE559" s="41"/>
      <c r="AF559" s="41"/>
      <c r="AG559" s="41"/>
      <c r="AH559" s="41"/>
      <c r="AI559" s="41"/>
      <c r="AJ559" s="41"/>
      <c r="AK559" s="41"/>
      <c r="AL559" s="33"/>
    </row>
    <row r="560" spans="2:38" x14ac:dyDescent="0.25">
      <c r="B560" s="19">
        <v>38100</v>
      </c>
      <c r="C560" s="19"/>
      <c r="D560" s="19"/>
      <c r="E560" s="19"/>
      <c r="F560" s="19"/>
      <c r="G560" s="58"/>
      <c r="H560" s="59"/>
      <c r="I560" s="86"/>
      <c r="J560" s="86"/>
      <c r="K560" s="20"/>
      <c r="L560" s="21">
        <f>L561</f>
        <v>46942</v>
      </c>
      <c r="M560" s="60">
        <f>M561</f>
        <v>150000</v>
      </c>
      <c r="N560" s="41"/>
      <c r="O560" s="41"/>
      <c r="P560" s="41"/>
      <c r="Q560" s="41"/>
      <c r="R560" s="41"/>
      <c r="S560" s="41"/>
      <c r="T560" s="43"/>
      <c r="U560" s="41"/>
      <c r="V560" s="41"/>
      <c r="W560" s="41"/>
      <c r="X560" s="43"/>
      <c r="Y560" s="41"/>
      <c r="Z560" s="43"/>
      <c r="AA560" s="41"/>
      <c r="AB560" s="43"/>
      <c r="AC560" s="41"/>
      <c r="AD560" s="41"/>
      <c r="AE560" s="41"/>
      <c r="AF560" s="41"/>
      <c r="AG560" s="41"/>
      <c r="AH560" s="41"/>
      <c r="AI560" s="41"/>
      <c r="AJ560" s="41"/>
      <c r="AK560" s="41"/>
      <c r="AL560" s="33"/>
    </row>
    <row r="561" spans="2:38" ht="57.75" x14ac:dyDescent="0.25">
      <c r="B561" s="49">
        <v>38101</v>
      </c>
      <c r="C561" s="49" t="s">
        <v>457</v>
      </c>
      <c r="D561" s="49">
        <v>0</v>
      </c>
      <c r="E561" s="49">
        <v>1</v>
      </c>
      <c r="F561" s="49" t="s">
        <v>385</v>
      </c>
      <c r="G561" s="64" t="s">
        <v>430</v>
      </c>
      <c r="H561" s="28" t="s">
        <v>43</v>
      </c>
      <c r="I561" s="143" t="s">
        <v>44</v>
      </c>
      <c r="J561" s="144"/>
      <c r="K561" s="50">
        <v>46942</v>
      </c>
      <c r="L561" s="50">
        <f>E561*K561</f>
        <v>46942</v>
      </c>
      <c r="M561" s="1">
        <v>150000</v>
      </c>
      <c r="N561" s="41">
        <v>0</v>
      </c>
      <c r="O561" s="41">
        <f t="shared" ref="O561" si="1084">N561*K561</f>
        <v>0</v>
      </c>
      <c r="P561" s="41">
        <v>0</v>
      </c>
      <c r="Q561" s="41">
        <f t="shared" ref="Q561" si="1085">K561*P561</f>
        <v>0</v>
      </c>
      <c r="R561" s="41">
        <v>0</v>
      </c>
      <c r="S561" s="41">
        <f t="shared" ref="S561" si="1086">K561*R561</f>
        <v>0</v>
      </c>
      <c r="T561" s="43">
        <v>0</v>
      </c>
      <c r="U561" s="41">
        <f t="shared" ref="U561" si="1087">K561*T561</f>
        <v>0</v>
      </c>
      <c r="V561" s="41">
        <v>0</v>
      </c>
      <c r="W561" s="41">
        <f t="shared" ref="W561" si="1088">K561*V561</f>
        <v>0</v>
      </c>
      <c r="X561" s="43">
        <v>0</v>
      </c>
      <c r="Y561" s="41">
        <f t="shared" ref="Y561" si="1089">K561*X561</f>
        <v>0</v>
      </c>
      <c r="Z561" s="43">
        <v>0</v>
      </c>
      <c r="AA561" s="41">
        <f t="shared" ref="AA561" si="1090">K561*Z561</f>
        <v>0</v>
      </c>
      <c r="AB561" s="43">
        <v>0</v>
      </c>
      <c r="AC561" s="41">
        <f t="shared" ref="AC561" si="1091">K561*AB561</f>
        <v>0</v>
      </c>
      <c r="AD561" s="41">
        <v>0</v>
      </c>
      <c r="AE561" s="41">
        <f t="shared" ref="AE561" si="1092">K561*AD561</f>
        <v>0</v>
      </c>
      <c r="AF561" s="41">
        <v>1</v>
      </c>
      <c r="AG561" s="41">
        <f t="shared" ref="AG561" si="1093">K561*AF561</f>
        <v>46942</v>
      </c>
      <c r="AH561" s="41">
        <v>0</v>
      </c>
      <c r="AI561" s="41">
        <f t="shared" ref="AI561" si="1094">K561*AH561</f>
        <v>0</v>
      </c>
      <c r="AJ561" s="41">
        <v>0</v>
      </c>
      <c r="AK561" s="41">
        <f t="shared" ref="AK561" si="1095">K561*AJ561</f>
        <v>0</v>
      </c>
      <c r="AL561" s="33">
        <f t="shared" si="971"/>
        <v>46942</v>
      </c>
    </row>
    <row r="562" spans="2:38" x14ac:dyDescent="0.25">
      <c r="B562" s="19">
        <v>38200</v>
      </c>
      <c r="C562" s="19"/>
      <c r="D562" s="19"/>
      <c r="E562" s="19"/>
      <c r="F562" s="19"/>
      <c r="G562" s="58"/>
      <c r="H562" s="59"/>
      <c r="I562" s="95"/>
      <c r="J562" s="95"/>
      <c r="K562" s="20"/>
      <c r="L562" s="21">
        <f>+L563+L564+L565</f>
        <v>37787.760000000002</v>
      </c>
      <c r="M562" s="60">
        <f>M563</f>
        <v>20000</v>
      </c>
      <c r="N562" s="41"/>
      <c r="O562" s="41"/>
      <c r="P562" s="41"/>
      <c r="Q562" s="41"/>
      <c r="R562" s="41"/>
      <c r="S562" s="41"/>
      <c r="T562" s="43"/>
      <c r="U562" s="41"/>
      <c r="V562" s="41"/>
      <c r="W562" s="41"/>
      <c r="X562" s="43"/>
      <c r="Y562" s="41"/>
      <c r="Z562" s="43"/>
      <c r="AA562" s="41"/>
      <c r="AB562" s="43"/>
      <c r="AC562" s="41"/>
      <c r="AD562" s="41"/>
      <c r="AE562" s="41"/>
      <c r="AF562" s="41"/>
      <c r="AG562" s="41"/>
      <c r="AH562" s="41"/>
      <c r="AI562" s="41"/>
      <c r="AJ562" s="41"/>
      <c r="AK562" s="41"/>
      <c r="AL562" s="33"/>
    </row>
    <row r="563" spans="2:38" ht="57.75" x14ac:dyDescent="0.25">
      <c r="B563" s="14">
        <v>38201</v>
      </c>
      <c r="C563" s="14" t="s">
        <v>458</v>
      </c>
      <c r="D563" s="49">
        <v>0</v>
      </c>
      <c r="E563" s="14">
        <v>1</v>
      </c>
      <c r="F563" s="14" t="s">
        <v>459</v>
      </c>
      <c r="G563" s="27" t="s">
        <v>282</v>
      </c>
      <c r="H563" s="28" t="s">
        <v>43</v>
      </c>
      <c r="I563" s="143" t="s">
        <v>44</v>
      </c>
      <c r="J563" s="144"/>
      <c r="K563" s="17">
        <v>37783.760000000002</v>
      </c>
      <c r="L563" s="17">
        <f>E563*K563</f>
        <v>37783.760000000002</v>
      </c>
      <c r="M563" s="1">
        <v>20000</v>
      </c>
      <c r="N563" s="41">
        <v>0</v>
      </c>
      <c r="O563" s="41">
        <f t="shared" ref="O563" si="1096">N563*K563</f>
        <v>0</v>
      </c>
      <c r="P563" s="41">
        <v>0</v>
      </c>
      <c r="Q563" s="41">
        <f t="shared" ref="Q563" si="1097">K563*P563</f>
        <v>0</v>
      </c>
      <c r="R563" s="41">
        <v>0</v>
      </c>
      <c r="S563" s="41">
        <f t="shared" ref="S563" si="1098">K563*R563</f>
        <v>0</v>
      </c>
      <c r="T563" s="43">
        <v>0</v>
      </c>
      <c r="U563" s="41">
        <f t="shared" ref="U563" si="1099">K563*T563</f>
        <v>0</v>
      </c>
      <c r="V563" s="41">
        <v>1</v>
      </c>
      <c r="W563" s="41">
        <f t="shared" ref="W563" si="1100">K563*V563</f>
        <v>37783.760000000002</v>
      </c>
      <c r="X563" s="43">
        <v>0</v>
      </c>
      <c r="Y563" s="41">
        <f t="shared" ref="Y563" si="1101">K563*X563</f>
        <v>0</v>
      </c>
      <c r="Z563" s="43">
        <v>0</v>
      </c>
      <c r="AA563" s="41">
        <f t="shared" ref="AA563" si="1102">K563*Z563</f>
        <v>0</v>
      </c>
      <c r="AB563" s="43">
        <v>0</v>
      </c>
      <c r="AC563" s="41">
        <f t="shared" ref="AC563" si="1103">K563*AB563</f>
        <v>0</v>
      </c>
      <c r="AD563" s="41">
        <v>0</v>
      </c>
      <c r="AE563" s="41">
        <f t="shared" ref="AE563" si="1104">K563*AD563</f>
        <v>0</v>
      </c>
      <c r="AF563" s="41">
        <v>0</v>
      </c>
      <c r="AG563" s="41">
        <f t="shared" ref="AG563" si="1105">K563*AF563</f>
        <v>0</v>
      </c>
      <c r="AH563" s="41">
        <v>0</v>
      </c>
      <c r="AI563" s="41">
        <f t="shared" ref="AI563" si="1106">K563*AH563</f>
        <v>0</v>
      </c>
      <c r="AJ563" s="41">
        <v>0</v>
      </c>
      <c r="AK563" s="41">
        <f t="shared" ref="AK563" si="1107">K563*AJ563</f>
        <v>0</v>
      </c>
      <c r="AL563" s="33">
        <f t="shared" si="971"/>
        <v>37783.760000000002</v>
      </c>
    </row>
    <row r="564" spans="2:38" ht="57.75" x14ac:dyDescent="0.25">
      <c r="B564" s="14">
        <v>38301</v>
      </c>
      <c r="C564" s="14" t="s">
        <v>533</v>
      </c>
      <c r="D564" s="49"/>
      <c r="E564" s="14">
        <v>1</v>
      </c>
      <c r="F564" s="14" t="s">
        <v>459</v>
      </c>
      <c r="G564" s="27" t="s">
        <v>282</v>
      </c>
      <c r="H564" s="28" t="s">
        <v>43</v>
      </c>
      <c r="I564" s="143" t="s">
        <v>44</v>
      </c>
      <c r="J564" s="144"/>
      <c r="K564" s="17">
        <v>2</v>
      </c>
      <c r="L564" s="17">
        <f>E564*K564</f>
        <v>2</v>
      </c>
      <c r="N564" s="41"/>
      <c r="O564" s="41"/>
      <c r="P564" s="41"/>
      <c r="Q564" s="41"/>
      <c r="R564" s="41"/>
      <c r="S564" s="41"/>
      <c r="T564" s="43"/>
      <c r="U564" s="41"/>
      <c r="V564" s="41"/>
      <c r="W564" s="41"/>
      <c r="X564" s="43"/>
      <c r="Y564" s="41"/>
      <c r="Z564" s="43"/>
      <c r="AA564" s="41"/>
      <c r="AB564" s="43"/>
      <c r="AC564" s="41"/>
      <c r="AD564" s="41"/>
      <c r="AE564" s="41"/>
      <c r="AF564" s="41"/>
      <c r="AG564" s="41"/>
      <c r="AH564" s="41"/>
      <c r="AI564" s="41"/>
      <c r="AJ564" s="41"/>
      <c r="AK564" s="41"/>
      <c r="AL564" s="33"/>
    </row>
    <row r="565" spans="2:38" ht="57.75" x14ac:dyDescent="0.25">
      <c r="B565" s="14">
        <v>38401</v>
      </c>
      <c r="C565" s="14" t="s">
        <v>534</v>
      </c>
      <c r="D565" s="49"/>
      <c r="E565" s="14">
        <v>1</v>
      </c>
      <c r="F565" s="14" t="s">
        <v>459</v>
      </c>
      <c r="G565" s="27" t="s">
        <v>282</v>
      </c>
      <c r="H565" s="28" t="s">
        <v>43</v>
      </c>
      <c r="I565" s="143" t="s">
        <v>44</v>
      </c>
      <c r="J565" s="144"/>
      <c r="K565" s="17">
        <v>2</v>
      </c>
      <c r="L565" s="17">
        <f>E565*K565</f>
        <v>2</v>
      </c>
      <c r="N565" s="41"/>
      <c r="O565" s="41"/>
      <c r="P565" s="41"/>
      <c r="Q565" s="41"/>
      <c r="R565" s="41"/>
      <c r="S565" s="41"/>
      <c r="T565" s="43"/>
      <c r="U565" s="41"/>
      <c r="V565" s="41"/>
      <c r="W565" s="41"/>
      <c r="X565" s="43"/>
      <c r="Y565" s="41"/>
      <c r="Z565" s="43"/>
      <c r="AA565" s="41"/>
      <c r="AB565" s="43"/>
      <c r="AC565" s="41"/>
      <c r="AD565" s="41"/>
      <c r="AE565" s="41"/>
      <c r="AF565" s="41"/>
      <c r="AG565" s="41"/>
      <c r="AH565" s="41"/>
      <c r="AI565" s="41"/>
      <c r="AJ565" s="41"/>
      <c r="AK565" s="41"/>
      <c r="AL565" s="33"/>
    </row>
    <row r="566" spans="2:38" x14ac:dyDescent="0.25">
      <c r="B566" s="19">
        <v>38500</v>
      </c>
      <c r="C566" s="19"/>
      <c r="D566" s="19"/>
      <c r="E566" s="19"/>
      <c r="F566" s="19"/>
      <c r="G566" s="58"/>
      <c r="H566" s="59"/>
      <c r="I566" s="95"/>
      <c r="J566" s="95"/>
      <c r="K566" s="20"/>
      <c r="L566" s="21">
        <f>SUM(L567:L569)</f>
        <v>102692</v>
      </c>
      <c r="M566" s="60">
        <f>M567+M569</f>
        <v>20001</v>
      </c>
      <c r="N566" s="41"/>
      <c r="O566" s="41"/>
      <c r="P566" s="41"/>
      <c r="Q566" s="41"/>
      <c r="R566" s="41"/>
      <c r="S566" s="41"/>
      <c r="T566" s="43"/>
      <c r="U566" s="41"/>
      <c r="V566" s="41"/>
      <c r="W566" s="41"/>
      <c r="X566" s="43"/>
      <c r="Y566" s="41"/>
      <c r="Z566" s="43"/>
      <c r="AA566" s="41"/>
      <c r="AB566" s="43"/>
      <c r="AC566" s="41"/>
      <c r="AD566" s="41"/>
      <c r="AE566" s="41"/>
      <c r="AF566" s="41"/>
      <c r="AG566" s="41"/>
      <c r="AH566" s="41"/>
      <c r="AI566" s="41"/>
      <c r="AJ566" s="41"/>
      <c r="AK566" s="41"/>
      <c r="AL566" s="33"/>
    </row>
    <row r="567" spans="2:38" ht="57.75" x14ac:dyDescent="0.25">
      <c r="B567" s="49">
        <v>38501</v>
      </c>
      <c r="C567" s="49" t="s">
        <v>460</v>
      </c>
      <c r="D567" s="49">
        <v>0</v>
      </c>
      <c r="E567" s="49">
        <v>1</v>
      </c>
      <c r="F567" s="49" t="s">
        <v>49</v>
      </c>
      <c r="G567" s="64" t="s">
        <v>430</v>
      </c>
      <c r="H567" s="28" t="s">
        <v>43</v>
      </c>
      <c r="I567" s="143" t="s">
        <v>44</v>
      </c>
      <c r="J567" s="144"/>
      <c r="K567" s="50">
        <v>27589</v>
      </c>
      <c r="L567" s="50">
        <f>E567*K567</f>
        <v>27589</v>
      </c>
      <c r="M567" s="1">
        <v>20001</v>
      </c>
      <c r="N567" s="41">
        <v>0</v>
      </c>
      <c r="O567" s="41">
        <f t="shared" ref="O567:O569" si="1108">N567*K567</f>
        <v>0</v>
      </c>
      <c r="P567" s="41">
        <v>0</v>
      </c>
      <c r="Q567" s="41">
        <f t="shared" ref="Q567:Q569" si="1109">K567*P567</f>
        <v>0</v>
      </c>
      <c r="R567" s="41">
        <v>0</v>
      </c>
      <c r="S567" s="41">
        <f t="shared" ref="S567:S569" si="1110">K567*R567</f>
        <v>0</v>
      </c>
      <c r="T567" s="43">
        <v>0</v>
      </c>
      <c r="U567" s="41">
        <f t="shared" ref="U567:U569" si="1111">K567*T567</f>
        <v>0</v>
      </c>
      <c r="V567" s="41">
        <v>7</v>
      </c>
      <c r="W567" s="41">
        <f t="shared" ref="W567:W569" si="1112">K567*V567</f>
        <v>193123</v>
      </c>
      <c r="X567" s="43">
        <v>0</v>
      </c>
      <c r="Y567" s="41">
        <f t="shared" ref="Y567:Y569" si="1113">K567*X567</f>
        <v>0</v>
      </c>
      <c r="Z567" s="43">
        <v>0</v>
      </c>
      <c r="AA567" s="41">
        <f t="shared" ref="AA567:AA569" si="1114">K567*Z567</f>
        <v>0</v>
      </c>
      <c r="AB567" s="43">
        <v>0</v>
      </c>
      <c r="AC567" s="41">
        <f t="shared" ref="AC567:AC569" si="1115">K567*AB567</f>
        <v>0</v>
      </c>
      <c r="AD567" s="41">
        <v>0</v>
      </c>
      <c r="AE567" s="41">
        <f t="shared" ref="AE567:AE569" si="1116">K567*AD567</f>
        <v>0</v>
      </c>
      <c r="AF567" s="41">
        <v>0</v>
      </c>
      <c r="AG567" s="41">
        <f t="shared" ref="AG567:AG569" si="1117">K567*AF567</f>
        <v>0</v>
      </c>
      <c r="AH567" s="41">
        <v>0</v>
      </c>
      <c r="AI567" s="41">
        <f t="shared" ref="AI567:AI569" si="1118">K567*AH567</f>
        <v>0</v>
      </c>
      <c r="AJ567" s="41">
        <v>0</v>
      </c>
      <c r="AK567" s="41">
        <f t="shared" ref="AK567:AK569" si="1119">K567*AJ567</f>
        <v>0</v>
      </c>
      <c r="AL567" s="33">
        <f t="shared" si="971"/>
        <v>193123</v>
      </c>
    </row>
    <row r="568" spans="2:38" ht="57.75" x14ac:dyDescent="0.25">
      <c r="B568" s="49">
        <v>38501</v>
      </c>
      <c r="C568" s="49" t="s">
        <v>461</v>
      </c>
      <c r="D568" s="49">
        <v>0</v>
      </c>
      <c r="E568" s="49">
        <v>1</v>
      </c>
      <c r="F568" s="49" t="s">
        <v>49</v>
      </c>
      <c r="G568" s="64" t="s">
        <v>430</v>
      </c>
      <c r="H568" s="28" t="s">
        <v>43</v>
      </c>
      <c r="I568" s="143" t="s">
        <v>44</v>
      </c>
      <c r="J568" s="144"/>
      <c r="K568" s="50">
        <v>1495</v>
      </c>
      <c r="L568" s="50">
        <f>E568*K568</f>
        <v>1495</v>
      </c>
      <c r="N568" s="41"/>
      <c r="O568" s="41"/>
      <c r="P568" s="41"/>
      <c r="Q568" s="41"/>
      <c r="R568" s="41"/>
      <c r="S568" s="41"/>
      <c r="T568" s="43"/>
      <c r="U568" s="41"/>
      <c r="V568" s="41">
        <v>1</v>
      </c>
      <c r="W568" s="41">
        <f>V568*K568</f>
        <v>1495</v>
      </c>
      <c r="X568" s="43"/>
      <c r="Y568" s="41"/>
      <c r="Z568" s="43"/>
      <c r="AA568" s="41"/>
      <c r="AB568" s="43"/>
      <c r="AC568" s="41"/>
      <c r="AD568" s="41"/>
      <c r="AE568" s="41"/>
      <c r="AF568" s="41"/>
      <c r="AG568" s="41"/>
      <c r="AH568" s="41"/>
      <c r="AI568" s="41"/>
      <c r="AJ568" s="41"/>
      <c r="AK568" s="41"/>
      <c r="AL568" s="33">
        <f t="shared" si="971"/>
        <v>1495</v>
      </c>
    </row>
    <row r="569" spans="2:38" ht="57.75" x14ac:dyDescent="0.25">
      <c r="B569" s="14">
        <v>38501</v>
      </c>
      <c r="C569" s="14" t="s">
        <v>462</v>
      </c>
      <c r="D569" s="49">
        <v>0</v>
      </c>
      <c r="E569" s="14">
        <v>8</v>
      </c>
      <c r="F569" s="14" t="s">
        <v>49</v>
      </c>
      <c r="G569" s="27" t="s">
        <v>430</v>
      </c>
      <c r="H569" s="28" t="s">
        <v>43</v>
      </c>
      <c r="I569" s="143" t="s">
        <v>44</v>
      </c>
      <c r="J569" s="144"/>
      <c r="K569" s="17">
        <v>9201</v>
      </c>
      <c r="L569" s="17">
        <f>E569*K569</f>
        <v>73608</v>
      </c>
      <c r="N569" s="41">
        <v>0</v>
      </c>
      <c r="O569" s="41">
        <f t="shared" si="1108"/>
        <v>0</v>
      </c>
      <c r="P569" s="41">
        <v>0</v>
      </c>
      <c r="Q569" s="41">
        <f t="shared" si="1109"/>
        <v>0</v>
      </c>
      <c r="R569" s="41">
        <v>0</v>
      </c>
      <c r="S569" s="41">
        <f t="shared" si="1110"/>
        <v>0</v>
      </c>
      <c r="T569" s="43">
        <v>0</v>
      </c>
      <c r="U569" s="41">
        <f t="shared" si="1111"/>
        <v>0</v>
      </c>
      <c r="V569" s="41">
        <v>8</v>
      </c>
      <c r="W569" s="41">
        <f t="shared" si="1112"/>
        <v>73608</v>
      </c>
      <c r="X569" s="43">
        <v>0</v>
      </c>
      <c r="Y569" s="41">
        <f t="shared" si="1113"/>
        <v>0</v>
      </c>
      <c r="Z569" s="43">
        <v>0</v>
      </c>
      <c r="AA569" s="41">
        <f t="shared" si="1114"/>
        <v>0</v>
      </c>
      <c r="AB569" s="43">
        <v>0</v>
      </c>
      <c r="AC569" s="41">
        <f t="shared" si="1115"/>
        <v>0</v>
      </c>
      <c r="AD569" s="41">
        <v>0</v>
      </c>
      <c r="AE569" s="41">
        <f t="shared" si="1116"/>
        <v>0</v>
      </c>
      <c r="AF569" s="41">
        <v>0</v>
      </c>
      <c r="AG569" s="41">
        <f t="shared" si="1117"/>
        <v>0</v>
      </c>
      <c r="AH569" s="41">
        <v>0</v>
      </c>
      <c r="AI569" s="41">
        <f t="shared" si="1118"/>
        <v>0</v>
      </c>
      <c r="AJ569" s="41">
        <v>0</v>
      </c>
      <c r="AK569" s="41">
        <f t="shared" si="1119"/>
        <v>0</v>
      </c>
      <c r="AL569" s="33">
        <f t="shared" si="971"/>
        <v>73608</v>
      </c>
    </row>
    <row r="570" spans="2:38" x14ac:dyDescent="0.25">
      <c r="B570" s="19">
        <v>39000</v>
      </c>
      <c r="C570" s="19"/>
      <c r="D570" s="19"/>
      <c r="E570" s="19"/>
      <c r="F570" s="19"/>
      <c r="G570" s="58"/>
      <c r="H570" s="59"/>
      <c r="I570" s="95"/>
      <c r="J570" s="95"/>
      <c r="K570" s="20"/>
      <c r="L570" s="21">
        <f>L571+L574</f>
        <v>1534301</v>
      </c>
      <c r="M570" s="60">
        <f>M571+M574</f>
        <v>1551601</v>
      </c>
      <c r="N570" s="41"/>
      <c r="O570" s="41"/>
      <c r="P570" s="41"/>
      <c r="Q570" s="41"/>
      <c r="R570" s="41"/>
      <c r="S570" s="41"/>
      <c r="T570" s="43"/>
      <c r="U570" s="41"/>
      <c r="V570" s="41"/>
      <c r="W570" s="41"/>
      <c r="X570" s="43"/>
      <c r="Y570" s="41"/>
      <c r="Z570" s="43"/>
      <c r="AA570" s="41"/>
      <c r="AB570" s="43"/>
      <c r="AC570" s="41"/>
      <c r="AD570" s="41"/>
      <c r="AE570" s="41"/>
      <c r="AF570" s="41"/>
      <c r="AG570" s="41"/>
      <c r="AH570" s="41"/>
      <c r="AI570" s="41"/>
      <c r="AJ570" s="41"/>
      <c r="AK570" s="41"/>
      <c r="AL570" s="33"/>
    </row>
    <row r="571" spans="2:38" x14ac:dyDescent="0.25">
      <c r="B571" s="19">
        <v>39200</v>
      </c>
      <c r="C571" s="19"/>
      <c r="D571" s="19"/>
      <c r="E571" s="19"/>
      <c r="F571" s="19"/>
      <c r="G571" s="58"/>
      <c r="H571" s="59"/>
      <c r="I571" s="86"/>
      <c r="J571" s="86"/>
      <c r="K571" s="20"/>
      <c r="L571" s="21">
        <f>+L572+L573</f>
        <v>34301</v>
      </c>
      <c r="M571" s="60">
        <f>M573</f>
        <v>51601</v>
      </c>
      <c r="N571" s="41"/>
      <c r="O571" s="41"/>
      <c r="P571" s="41"/>
      <c r="Q571" s="41"/>
      <c r="R571" s="41"/>
      <c r="S571" s="41"/>
      <c r="T571" s="43"/>
      <c r="U571" s="41"/>
      <c r="V571" s="41"/>
      <c r="W571" s="41"/>
      <c r="X571" s="43"/>
      <c r="Y571" s="41"/>
      <c r="Z571" s="43"/>
      <c r="AA571" s="41"/>
      <c r="AB571" s="43"/>
      <c r="AC571" s="41"/>
      <c r="AD571" s="41"/>
      <c r="AE571" s="41"/>
      <c r="AF571" s="41"/>
      <c r="AG571" s="41"/>
      <c r="AH571" s="41"/>
      <c r="AI571" s="41"/>
      <c r="AJ571" s="41"/>
      <c r="AK571" s="41"/>
      <c r="AL571" s="33"/>
    </row>
    <row r="572" spans="2:38" ht="57.75" x14ac:dyDescent="0.25">
      <c r="B572" s="14">
        <v>39201</v>
      </c>
      <c r="C572" s="14" t="s">
        <v>535</v>
      </c>
      <c r="D572" s="49">
        <v>0</v>
      </c>
      <c r="E572" s="14">
        <v>1</v>
      </c>
      <c r="F572" s="14" t="s">
        <v>464</v>
      </c>
      <c r="G572" s="27" t="s">
        <v>398</v>
      </c>
      <c r="H572" s="28" t="s">
        <v>43</v>
      </c>
      <c r="I572" s="143" t="s">
        <v>44</v>
      </c>
      <c r="J572" s="144"/>
      <c r="K572" s="17">
        <v>1</v>
      </c>
      <c r="L572" s="17">
        <f>E572*K572</f>
        <v>1</v>
      </c>
      <c r="M572" s="44"/>
      <c r="N572" s="41"/>
      <c r="O572" s="41"/>
      <c r="P572" s="41"/>
      <c r="Q572" s="41"/>
      <c r="R572" s="41"/>
      <c r="S572" s="41"/>
      <c r="T572" s="43"/>
      <c r="U572" s="41"/>
      <c r="V572" s="41"/>
      <c r="W572" s="41"/>
      <c r="X572" s="43"/>
      <c r="Y572" s="41"/>
      <c r="Z572" s="43"/>
      <c r="AA572" s="41"/>
      <c r="AB572" s="43"/>
      <c r="AC572" s="41"/>
      <c r="AD572" s="41"/>
      <c r="AE572" s="41"/>
      <c r="AF572" s="41"/>
      <c r="AG572" s="41"/>
      <c r="AH572" s="41"/>
      <c r="AI572" s="41"/>
      <c r="AJ572" s="41"/>
      <c r="AK572" s="41"/>
      <c r="AL572" s="33"/>
    </row>
    <row r="573" spans="2:38" ht="57.75" x14ac:dyDescent="0.25">
      <c r="B573" s="14">
        <v>39202</v>
      </c>
      <c r="C573" s="14" t="s">
        <v>463</v>
      </c>
      <c r="D573" s="49">
        <v>0</v>
      </c>
      <c r="E573" s="14">
        <v>1</v>
      </c>
      <c r="F573" s="14" t="s">
        <v>464</v>
      </c>
      <c r="G573" s="27" t="s">
        <v>398</v>
      </c>
      <c r="H573" s="28" t="s">
        <v>43</v>
      </c>
      <c r="I573" s="143" t="s">
        <v>44</v>
      </c>
      <c r="J573" s="144"/>
      <c r="K573" s="17">
        <v>34300</v>
      </c>
      <c r="L573" s="17">
        <f>E573*K573</f>
        <v>34300</v>
      </c>
      <c r="M573" s="1">
        <v>51601</v>
      </c>
      <c r="N573" s="41">
        <v>0</v>
      </c>
      <c r="O573" s="41">
        <f t="shared" ref="O573" si="1120">N573*K573</f>
        <v>0</v>
      </c>
      <c r="P573" s="41">
        <v>21</v>
      </c>
      <c r="Q573" s="41">
        <f t="shared" ref="Q573" si="1121">K573*P573</f>
        <v>720300</v>
      </c>
      <c r="R573" s="41">
        <v>0</v>
      </c>
      <c r="S573" s="41">
        <f t="shared" ref="S573" si="1122">K573*R573</f>
        <v>0</v>
      </c>
      <c r="T573" s="43">
        <v>0</v>
      </c>
      <c r="U573" s="41">
        <f t="shared" ref="U573" si="1123">K573*T573</f>
        <v>0</v>
      </c>
      <c r="V573" s="41">
        <v>0</v>
      </c>
      <c r="W573" s="41">
        <f t="shared" ref="W573" si="1124">K573*V573</f>
        <v>0</v>
      </c>
      <c r="X573" s="43">
        <v>0</v>
      </c>
      <c r="Y573" s="41">
        <f t="shared" ref="Y573" si="1125">K573*X573</f>
        <v>0</v>
      </c>
      <c r="Z573" s="43">
        <v>0</v>
      </c>
      <c r="AA573" s="41">
        <f t="shared" ref="AA573" si="1126">K573*Z573</f>
        <v>0</v>
      </c>
      <c r="AB573" s="43">
        <v>0</v>
      </c>
      <c r="AC573" s="41">
        <f t="shared" ref="AC573" si="1127">K573*AB573</f>
        <v>0</v>
      </c>
      <c r="AD573" s="41">
        <v>0</v>
      </c>
      <c r="AE573" s="41">
        <f t="shared" ref="AE573" si="1128">K573*AD573</f>
        <v>0</v>
      </c>
      <c r="AF573" s="41">
        <v>0</v>
      </c>
      <c r="AG573" s="41">
        <f t="shared" ref="AG573" si="1129">K573*AF573</f>
        <v>0</v>
      </c>
      <c r="AH573" s="41">
        <v>0</v>
      </c>
      <c r="AI573" s="41">
        <f t="shared" ref="AI573" si="1130">K573*AH573</f>
        <v>0</v>
      </c>
      <c r="AJ573" s="41">
        <v>0</v>
      </c>
      <c r="AK573" s="41">
        <f t="shared" ref="AK573" si="1131">K573*AJ573</f>
        <v>0</v>
      </c>
      <c r="AL573" s="33">
        <f t="shared" si="971"/>
        <v>720300</v>
      </c>
    </row>
    <row r="574" spans="2:38" x14ac:dyDescent="0.25">
      <c r="B574" s="19">
        <v>39400</v>
      </c>
      <c r="C574" s="19"/>
      <c r="D574" s="19"/>
      <c r="E574" s="19"/>
      <c r="F574" s="19"/>
      <c r="G574" s="58"/>
      <c r="H574" s="59"/>
      <c r="I574" s="145"/>
      <c r="J574" s="146"/>
      <c r="K574" s="20"/>
      <c r="L574" s="21">
        <f>L575</f>
        <v>1500000</v>
      </c>
      <c r="M574" s="60">
        <f>M575</f>
        <v>1500000</v>
      </c>
      <c r="N574" s="41"/>
      <c r="O574" s="41"/>
      <c r="P574" s="41"/>
      <c r="Q574" s="41"/>
      <c r="R574" s="41"/>
      <c r="S574" s="41"/>
      <c r="T574" s="43"/>
      <c r="U574" s="41"/>
      <c r="V574" s="41"/>
      <c r="W574" s="41"/>
      <c r="X574" s="43"/>
      <c r="Y574" s="41"/>
      <c r="Z574" s="43"/>
      <c r="AA574" s="41"/>
      <c r="AB574" s="43"/>
      <c r="AC574" s="41"/>
      <c r="AD574" s="41"/>
      <c r="AE574" s="41"/>
      <c r="AF574" s="41"/>
      <c r="AG574" s="41"/>
      <c r="AH574" s="41"/>
      <c r="AI574" s="41"/>
      <c r="AJ574" s="41"/>
      <c r="AK574" s="41"/>
      <c r="AL574" s="33"/>
    </row>
    <row r="575" spans="2:38" ht="57.75" x14ac:dyDescent="0.25">
      <c r="B575" s="49">
        <v>39401</v>
      </c>
      <c r="C575" s="49" t="s">
        <v>465</v>
      </c>
      <c r="D575" s="49">
        <v>0</v>
      </c>
      <c r="E575" s="49">
        <v>1</v>
      </c>
      <c r="F575" s="49" t="s">
        <v>466</v>
      </c>
      <c r="G575" s="64" t="s">
        <v>406</v>
      </c>
      <c r="H575" s="28" t="s">
        <v>43</v>
      </c>
      <c r="I575" s="143" t="s">
        <v>44</v>
      </c>
      <c r="J575" s="144"/>
      <c r="K575" s="50">
        <v>1500000</v>
      </c>
      <c r="L575" s="50">
        <f>E575*K575</f>
        <v>1500000</v>
      </c>
      <c r="M575" s="1">
        <v>1500000</v>
      </c>
      <c r="N575" s="41">
        <v>0</v>
      </c>
      <c r="O575" s="41">
        <f t="shared" ref="O575" si="1132">N575*K575</f>
        <v>0</v>
      </c>
      <c r="P575" s="41">
        <v>0</v>
      </c>
      <c r="Q575" s="41">
        <f t="shared" ref="Q575" si="1133">K575*P575</f>
        <v>0</v>
      </c>
      <c r="R575" s="41">
        <v>0</v>
      </c>
      <c r="S575" s="41">
        <f t="shared" ref="S575" si="1134">K575*R575</f>
        <v>0</v>
      </c>
      <c r="T575" s="43">
        <v>0</v>
      </c>
      <c r="U575" s="41">
        <f t="shared" ref="U575" si="1135">K575*T575</f>
        <v>0</v>
      </c>
      <c r="V575" s="41">
        <v>1</v>
      </c>
      <c r="W575" s="41">
        <f t="shared" ref="W575" si="1136">K575*V575</f>
        <v>1500000</v>
      </c>
      <c r="X575" s="43">
        <v>0</v>
      </c>
      <c r="Y575" s="41">
        <f t="shared" ref="Y575" si="1137">K575*X575</f>
        <v>0</v>
      </c>
      <c r="Z575" s="43">
        <v>0</v>
      </c>
      <c r="AA575" s="41">
        <f t="shared" ref="AA575" si="1138">K575*Z575</f>
        <v>0</v>
      </c>
      <c r="AB575" s="43">
        <v>0</v>
      </c>
      <c r="AC575" s="41">
        <f t="shared" ref="AC575" si="1139">K575*AB575</f>
        <v>0</v>
      </c>
      <c r="AD575" s="41">
        <v>0</v>
      </c>
      <c r="AE575" s="41">
        <f t="shared" ref="AE575" si="1140">K575*AD575</f>
        <v>0</v>
      </c>
      <c r="AF575" s="41">
        <v>0</v>
      </c>
      <c r="AG575" s="41">
        <f t="shared" ref="AG575" si="1141">K575*AF575</f>
        <v>0</v>
      </c>
      <c r="AH575" s="41">
        <v>0</v>
      </c>
      <c r="AI575" s="41">
        <f t="shared" ref="AI575" si="1142">K575*AH575</f>
        <v>0</v>
      </c>
      <c r="AJ575" s="41">
        <v>0</v>
      </c>
      <c r="AK575" s="41">
        <f t="shared" ref="AK575" si="1143">K575*AJ575</f>
        <v>0</v>
      </c>
      <c r="AL575" s="33">
        <f t="shared" si="971"/>
        <v>1500000</v>
      </c>
    </row>
    <row r="576" spans="2:38" x14ac:dyDescent="0.25">
      <c r="B576" s="19">
        <v>5000</v>
      </c>
      <c r="C576" s="19"/>
      <c r="D576" s="19"/>
      <c r="E576" s="19"/>
      <c r="F576" s="19"/>
      <c r="G576" s="58"/>
      <c r="H576" s="78"/>
      <c r="I576" s="145"/>
      <c r="J576" s="146"/>
      <c r="K576" s="20"/>
      <c r="L576" s="21">
        <f>L577+L601+L605</f>
        <v>718436.69</v>
      </c>
      <c r="M576" s="60" t="e">
        <f>M577+#REF!+M606</f>
        <v>#REF!</v>
      </c>
      <c r="N576" s="41"/>
      <c r="O576" s="41"/>
      <c r="P576" s="41"/>
      <c r="Q576" s="41"/>
      <c r="R576" s="41"/>
      <c r="S576" s="41"/>
      <c r="T576" s="43"/>
      <c r="U576" s="41"/>
      <c r="V576" s="41"/>
      <c r="W576" s="41"/>
      <c r="X576" s="43"/>
      <c r="Y576" s="41"/>
      <c r="Z576" s="43"/>
      <c r="AA576" s="41"/>
      <c r="AB576" s="43"/>
      <c r="AC576" s="41"/>
      <c r="AD576" s="41"/>
      <c r="AE576" s="41"/>
      <c r="AF576" s="41"/>
      <c r="AG576" s="41"/>
      <c r="AH576" s="41"/>
      <c r="AI576" s="41"/>
      <c r="AJ576" s="41"/>
      <c r="AK576" s="41"/>
      <c r="AL576" s="33"/>
    </row>
    <row r="577" spans="2:38" x14ac:dyDescent="0.25">
      <c r="B577" s="19">
        <v>51000</v>
      </c>
      <c r="C577" s="19"/>
      <c r="D577" s="19"/>
      <c r="E577" s="19"/>
      <c r="F577" s="19"/>
      <c r="G577" s="58"/>
      <c r="H577" s="78"/>
      <c r="I577" s="145"/>
      <c r="J577" s="146"/>
      <c r="K577" s="20"/>
      <c r="L577" s="21">
        <f>L578+L591+L596</f>
        <v>700843.85</v>
      </c>
      <c r="M577" s="60">
        <f>M578+M591+M596</f>
        <v>148004</v>
      </c>
      <c r="N577" s="41"/>
      <c r="O577" s="41"/>
      <c r="P577" s="41"/>
      <c r="Q577" s="41"/>
      <c r="R577" s="41"/>
      <c r="S577" s="41"/>
      <c r="T577" s="43"/>
      <c r="U577" s="41"/>
      <c r="V577" s="41"/>
      <c r="W577" s="41"/>
      <c r="X577" s="43"/>
      <c r="Y577" s="41"/>
      <c r="Z577" s="43"/>
      <c r="AA577" s="41"/>
      <c r="AB577" s="43"/>
      <c r="AC577" s="41"/>
      <c r="AD577" s="41"/>
      <c r="AE577" s="41"/>
      <c r="AF577" s="41"/>
      <c r="AG577" s="41"/>
      <c r="AH577" s="41"/>
      <c r="AI577" s="41"/>
      <c r="AJ577" s="41"/>
      <c r="AK577" s="41"/>
      <c r="AL577" s="33"/>
    </row>
    <row r="578" spans="2:38" x14ac:dyDescent="0.25">
      <c r="B578" s="19">
        <v>51100</v>
      </c>
      <c r="C578" s="19"/>
      <c r="D578" s="19"/>
      <c r="E578" s="19"/>
      <c r="F578" s="19"/>
      <c r="G578" s="58"/>
      <c r="H578" s="78"/>
      <c r="I578" s="145"/>
      <c r="J578" s="146"/>
      <c r="K578" s="20"/>
      <c r="L578" s="21">
        <f>SUM(L579:L590)</f>
        <v>144253</v>
      </c>
      <c r="M578" s="60">
        <v>40002</v>
      </c>
      <c r="N578" s="41"/>
      <c r="O578" s="41"/>
      <c r="P578" s="41"/>
      <c r="Q578" s="41"/>
      <c r="R578" s="41"/>
      <c r="S578" s="41"/>
      <c r="T578" s="43"/>
      <c r="U578" s="41"/>
      <c r="V578" s="41"/>
      <c r="W578" s="41"/>
      <c r="X578" s="43"/>
      <c r="Y578" s="41"/>
      <c r="Z578" s="43"/>
      <c r="AA578" s="41"/>
      <c r="AB578" s="43"/>
      <c r="AC578" s="41"/>
      <c r="AD578" s="41"/>
      <c r="AE578" s="41"/>
      <c r="AF578" s="41"/>
      <c r="AG578" s="41"/>
      <c r="AH578" s="41"/>
      <c r="AI578" s="41"/>
      <c r="AJ578" s="41"/>
      <c r="AK578" s="41"/>
      <c r="AL578" s="33"/>
    </row>
    <row r="579" spans="2:38" ht="57.75" x14ac:dyDescent="0.25">
      <c r="B579" s="49">
        <v>51102</v>
      </c>
      <c r="C579" s="49" t="s">
        <v>536</v>
      </c>
      <c r="D579" s="49">
        <v>0</v>
      </c>
      <c r="E579" s="49">
        <v>1</v>
      </c>
      <c r="F579" s="49" t="s">
        <v>49</v>
      </c>
      <c r="G579" s="64" t="s">
        <v>89</v>
      </c>
      <c r="H579" s="28" t="s">
        <v>43</v>
      </c>
      <c r="I579" s="143" t="s">
        <v>44</v>
      </c>
      <c r="J579" s="144"/>
      <c r="K579" s="50">
        <v>50001</v>
      </c>
      <c r="L579" s="50">
        <f t="shared" ref="L579:L584" si="1144">E579*K579</f>
        <v>50001</v>
      </c>
      <c r="M579" s="44"/>
      <c r="N579" s="41"/>
      <c r="O579" s="41"/>
      <c r="P579" s="41"/>
      <c r="Q579" s="41"/>
      <c r="R579" s="41"/>
      <c r="S579" s="41"/>
      <c r="T579" s="43"/>
      <c r="U579" s="41"/>
      <c r="V579" s="41"/>
      <c r="W579" s="41"/>
      <c r="X579" s="43"/>
      <c r="Y579" s="41"/>
      <c r="Z579" s="43"/>
      <c r="AA579" s="41"/>
      <c r="AB579" s="43"/>
      <c r="AC579" s="41"/>
      <c r="AD579" s="41"/>
      <c r="AE579" s="41"/>
      <c r="AF579" s="41"/>
      <c r="AG579" s="41"/>
      <c r="AH579" s="41"/>
      <c r="AI579" s="41"/>
      <c r="AJ579" s="41"/>
      <c r="AK579" s="41"/>
      <c r="AL579" s="33"/>
    </row>
    <row r="580" spans="2:38" ht="57.75" x14ac:dyDescent="0.25">
      <c r="B580" s="49">
        <v>51103</v>
      </c>
      <c r="C580" s="49" t="s">
        <v>537</v>
      </c>
      <c r="D580" s="49"/>
      <c r="E580" s="49">
        <v>1</v>
      </c>
      <c r="F580" s="49" t="s">
        <v>49</v>
      </c>
      <c r="G580" s="64" t="s">
        <v>89</v>
      </c>
      <c r="H580" s="28" t="s">
        <v>43</v>
      </c>
      <c r="I580" s="143" t="s">
        <v>44</v>
      </c>
      <c r="J580" s="144"/>
      <c r="K580" s="50">
        <v>12001</v>
      </c>
      <c r="L580" s="50">
        <f t="shared" si="1144"/>
        <v>12001</v>
      </c>
      <c r="M580" s="44"/>
      <c r="N580" s="41"/>
      <c r="O580" s="41"/>
      <c r="P580" s="41"/>
      <c r="Q580" s="41"/>
      <c r="R580" s="41"/>
      <c r="S580" s="41"/>
      <c r="T580" s="43"/>
      <c r="U580" s="41"/>
      <c r="V580" s="41"/>
      <c r="W580" s="41"/>
      <c r="X580" s="43"/>
      <c r="Y580" s="41"/>
      <c r="Z580" s="43"/>
      <c r="AA580" s="41"/>
      <c r="AB580" s="43"/>
      <c r="AC580" s="41"/>
      <c r="AD580" s="41"/>
      <c r="AE580" s="41"/>
      <c r="AF580" s="41"/>
      <c r="AG580" s="41"/>
      <c r="AH580" s="41"/>
      <c r="AI580" s="41"/>
      <c r="AJ580" s="41"/>
      <c r="AK580" s="41"/>
      <c r="AL580" s="33"/>
    </row>
    <row r="581" spans="2:38" ht="57.75" x14ac:dyDescent="0.25">
      <c r="B581" s="49">
        <v>51105</v>
      </c>
      <c r="C581" s="49" t="s">
        <v>538</v>
      </c>
      <c r="D581" s="49"/>
      <c r="E581" s="49">
        <v>1</v>
      </c>
      <c r="F581" s="49" t="s">
        <v>49</v>
      </c>
      <c r="G581" s="64" t="s">
        <v>89</v>
      </c>
      <c r="H581" s="28" t="s">
        <v>43</v>
      </c>
      <c r="I581" s="143" t="s">
        <v>44</v>
      </c>
      <c r="J581" s="144"/>
      <c r="K581" s="50">
        <v>1</v>
      </c>
      <c r="L581" s="50">
        <f t="shared" si="1144"/>
        <v>1</v>
      </c>
      <c r="M581" s="44"/>
      <c r="N581" s="41"/>
      <c r="O581" s="41"/>
      <c r="P581" s="41"/>
      <c r="Q581" s="41"/>
      <c r="R581" s="41"/>
      <c r="S581" s="41"/>
      <c r="T581" s="43"/>
      <c r="U581" s="41"/>
      <c r="V581" s="41"/>
      <c r="W581" s="41"/>
      <c r="X581" s="43"/>
      <c r="Y581" s="41"/>
      <c r="Z581" s="43"/>
      <c r="AA581" s="41"/>
      <c r="AB581" s="43"/>
      <c r="AC581" s="41"/>
      <c r="AD581" s="41"/>
      <c r="AE581" s="41"/>
      <c r="AF581" s="41"/>
      <c r="AG581" s="41"/>
      <c r="AH581" s="41"/>
      <c r="AI581" s="41"/>
      <c r="AJ581" s="41"/>
      <c r="AK581" s="41"/>
      <c r="AL581" s="33"/>
    </row>
    <row r="582" spans="2:38" ht="57.75" x14ac:dyDescent="0.25">
      <c r="B582" s="49">
        <v>51107</v>
      </c>
      <c r="C582" s="49" t="s">
        <v>467</v>
      </c>
      <c r="D582" s="49">
        <v>0</v>
      </c>
      <c r="E582" s="49">
        <v>1</v>
      </c>
      <c r="F582" s="49" t="s">
        <v>49</v>
      </c>
      <c r="G582" s="64" t="s">
        <v>89</v>
      </c>
      <c r="H582" s="28" t="s">
        <v>43</v>
      </c>
      <c r="I582" s="143" t="s">
        <v>44</v>
      </c>
      <c r="J582" s="144"/>
      <c r="K582" s="50">
        <v>2072.8000000000002</v>
      </c>
      <c r="L582" s="50">
        <f t="shared" si="1144"/>
        <v>2072.8000000000002</v>
      </c>
      <c r="N582" s="41">
        <v>0</v>
      </c>
      <c r="O582" s="41">
        <f t="shared" ref="O582" si="1145">N582*K582</f>
        <v>0</v>
      </c>
      <c r="P582" s="41">
        <v>0</v>
      </c>
      <c r="Q582" s="41">
        <f t="shared" ref="Q582:Q583" si="1146">K582*P582</f>
        <v>0</v>
      </c>
      <c r="R582" s="41">
        <v>0</v>
      </c>
      <c r="S582" s="41">
        <f t="shared" ref="S582:S589" si="1147">K582*R582</f>
        <v>0</v>
      </c>
      <c r="T582" s="43">
        <v>38</v>
      </c>
      <c r="U582" s="41">
        <f t="shared" ref="U582:U586" si="1148">K582*T582</f>
        <v>78766.400000000009</v>
      </c>
      <c r="V582" s="41">
        <v>0</v>
      </c>
      <c r="W582" s="41">
        <f t="shared" ref="W582:W584" si="1149">K582*V582</f>
        <v>0</v>
      </c>
      <c r="X582" s="43">
        <v>0</v>
      </c>
      <c r="Y582" s="41">
        <f t="shared" ref="Y582:Y588" si="1150">K582*X582</f>
        <v>0</v>
      </c>
      <c r="Z582" s="43">
        <v>0</v>
      </c>
      <c r="AA582" s="41">
        <f t="shared" ref="AA582:AA588" si="1151">K582*Z582</f>
        <v>0</v>
      </c>
      <c r="AB582" s="43">
        <v>0</v>
      </c>
      <c r="AC582" s="41">
        <f t="shared" ref="AC582:AC590" si="1152">K582*AB582</f>
        <v>0</v>
      </c>
      <c r="AD582" s="41">
        <v>0</v>
      </c>
      <c r="AE582" s="41">
        <f t="shared" ref="AE582:AE583" si="1153">K582*AD582</f>
        <v>0</v>
      </c>
      <c r="AF582" s="41">
        <v>0</v>
      </c>
      <c r="AG582" s="41">
        <f t="shared" ref="AG582:AG590" si="1154">K582*AF582</f>
        <v>0</v>
      </c>
      <c r="AH582" s="41">
        <v>0</v>
      </c>
      <c r="AI582" s="41">
        <f t="shared" ref="AI582:AI590" si="1155">K582*AH582</f>
        <v>0</v>
      </c>
      <c r="AJ582" s="41">
        <v>0</v>
      </c>
      <c r="AK582" s="41">
        <f t="shared" ref="AK582:AK590" si="1156">K582*AJ582</f>
        <v>0</v>
      </c>
      <c r="AL582" s="33">
        <f t="shared" si="971"/>
        <v>78766.400000000009</v>
      </c>
    </row>
    <row r="583" spans="2:38" ht="57.75" x14ac:dyDescent="0.25">
      <c r="B583" s="49">
        <v>51107</v>
      </c>
      <c r="C583" s="49" t="s">
        <v>468</v>
      </c>
      <c r="D583" s="49">
        <v>0</v>
      </c>
      <c r="E583" s="49">
        <v>1</v>
      </c>
      <c r="F583" s="49" t="s">
        <v>49</v>
      </c>
      <c r="G583" s="64" t="s">
        <v>89</v>
      </c>
      <c r="H583" s="28" t="s">
        <v>43</v>
      </c>
      <c r="I583" s="143" t="s">
        <v>44</v>
      </c>
      <c r="J583" s="144"/>
      <c r="K583" s="50">
        <v>8627.2000000000007</v>
      </c>
      <c r="L583" s="50">
        <f t="shared" si="1144"/>
        <v>8627.2000000000007</v>
      </c>
      <c r="N583" s="41">
        <v>0</v>
      </c>
      <c r="O583" s="41">
        <v>0</v>
      </c>
      <c r="P583" s="41">
        <v>0</v>
      </c>
      <c r="Q583" s="41">
        <f t="shared" si="1146"/>
        <v>0</v>
      </c>
      <c r="R583" s="41">
        <v>0</v>
      </c>
      <c r="S583" s="41">
        <f t="shared" si="1147"/>
        <v>0</v>
      </c>
      <c r="T583" s="43">
        <v>1</v>
      </c>
      <c r="U583" s="41">
        <f t="shared" si="1148"/>
        <v>8627.2000000000007</v>
      </c>
      <c r="V583" s="41">
        <v>0</v>
      </c>
      <c r="W583" s="41">
        <f t="shared" si="1149"/>
        <v>0</v>
      </c>
      <c r="X583" s="43">
        <v>0</v>
      </c>
      <c r="Y583" s="41">
        <f t="shared" si="1150"/>
        <v>0</v>
      </c>
      <c r="Z583" s="43">
        <v>0</v>
      </c>
      <c r="AA583" s="41">
        <f t="shared" si="1151"/>
        <v>0</v>
      </c>
      <c r="AB583" s="43">
        <v>0</v>
      </c>
      <c r="AC583" s="41">
        <f t="shared" si="1152"/>
        <v>0</v>
      </c>
      <c r="AD583" s="41">
        <v>0</v>
      </c>
      <c r="AE583" s="41">
        <f t="shared" si="1153"/>
        <v>0</v>
      </c>
      <c r="AF583" s="41">
        <v>0</v>
      </c>
      <c r="AG583" s="41">
        <f t="shared" si="1154"/>
        <v>0</v>
      </c>
      <c r="AH583" s="41">
        <v>0</v>
      </c>
      <c r="AI583" s="41">
        <f t="shared" si="1155"/>
        <v>0</v>
      </c>
      <c r="AJ583" s="41">
        <v>0</v>
      </c>
      <c r="AK583" s="41">
        <f t="shared" si="1156"/>
        <v>0</v>
      </c>
      <c r="AL583" s="33">
        <f t="shared" si="971"/>
        <v>8627.2000000000007</v>
      </c>
    </row>
    <row r="584" spans="2:38" ht="57.75" x14ac:dyDescent="0.25">
      <c r="B584" s="14">
        <v>51107</v>
      </c>
      <c r="C584" s="25" t="s">
        <v>469</v>
      </c>
      <c r="D584" s="49">
        <v>0</v>
      </c>
      <c r="E584" s="14">
        <v>1</v>
      </c>
      <c r="F584" s="12" t="s">
        <v>49</v>
      </c>
      <c r="G584" s="27" t="s">
        <v>42</v>
      </c>
      <c r="H584" s="28" t="s">
        <v>43</v>
      </c>
      <c r="I584" s="143" t="s">
        <v>44</v>
      </c>
      <c r="J584" s="144"/>
      <c r="K584" s="38">
        <v>9000</v>
      </c>
      <c r="L584" s="29">
        <f t="shared" si="1144"/>
        <v>9000</v>
      </c>
      <c r="M584" s="34"/>
      <c r="N584" s="35">
        <v>0</v>
      </c>
      <c r="O584" s="34">
        <v>0</v>
      </c>
      <c r="P584" s="31">
        <f>O584*K584</f>
        <v>0</v>
      </c>
      <c r="Q584" s="41">
        <v>0</v>
      </c>
      <c r="R584" s="41">
        <v>0</v>
      </c>
      <c r="S584" s="41">
        <f t="shared" si="1147"/>
        <v>0</v>
      </c>
      <c r="T584" s="43">
        <v>0</v>
      </c>
      <c r="U584" s="41">
        <f t="shared" si="1148"/>
        <v>0</v>
      </c>
      <c r="V584" s="41">
        <v>0</v>
      </c>
      <c r="W584" s="41">
        <f t="shared" si="1149"/>
        <v>0</v>
      </c>
      <c r="X584" s="43">
        <v>1</v>
      </c>
      <c r="Y584" s="41">
        <f t="shared" si="1150"/>
        <v>9000</v>
      </c>
      <c r="Z584" s="43">
        <v>0</v>
      </c>
      <c r="AA584" s="41">
        <f t="shared" si="1151"/>
        <v>0</v>
      </c>
      <c r="AB584" s="43">
        <v>0</v>
      </c>
      <c r="AC584" s="41">
        <f t="shared" si="1152"/>
        <v>0</v>
      </c>
      <c r="AD584" s="41">
        <v>0</v>
      </c>
      <c r="AE584" s="41">
        <v>0</v>
      </c>
      <c r="AF584" s="41">
        <v>0</v>
      </c>
      <c r="AG584" s="41">
        <f t="shared" si="1154"/>
        <v>0</v>
      </c>
      <c r="AH584" s="41">
        <v>0</v>
      </c>
      <c r="AI584" s="41">
        <f t="shared" si="1155"/>
        <v>0</v>
      </c>
      <c r="AJ584" s="41">
        <v>0</v>
      </c>
      <c r="AK584" s="41">
        <f t="shared" si="1156"/>
        <v>0</v>
      </c>
      <c r="AL584" s="33">
        <f t="shared" si="971"/>
        <v>9000</v>
      </c>
    </row>
    <row r="585" spans="2:38" ht="57.75" x14ac:dyDescent="0.25">
      <c r="B585" s="14">
        <v>51107</v>
      </c>
      <c r="C585" s="25" t="s">
        <v>470</v>
      </c>
      <c r="D585" s="49">
        <v>0</v>
      </c>
      <c r="E585" s="14">
        <v>4</v>
      </c>
      <c r="F585" s="12" t="s">
        <v>49</v>
      </c>
      <c r="G585" s="27"/>
      <c r="H585" s="28" t="s">
        <v>43</v>
      </c>
      <c r="I585" s="143" t="s">
        <v>44</v>
      </c>
      <c r="J585" s="144"/>
      <c r="K585" s="38">
        <v>3500</v>
      </c>
      <c r="L585" s="29">
        <f t="shared" ref="L585" si="1157">E585*K585</f>
        <v>14000</v>
      </c>
      <c r="M585" s="34"/>
      <c r="N585" s="35">
        <v>0</v>
      </c>
      <c r="O585" s="34">
        <v>0</v>
      </c>
      <c r="P585" s="31">
        <f t="shared" ref="P585" si="1158">O585*K585</f>
        <v>0</v>
      </c>
      <c r="Q585" s="41">
        <v>0</v>
      </c>
      <c r="R585" s="41">
        <v>0</v>
      </c>
      <c r="S585" s="41">
        <f t="shared" si="1147"/>
        <v>0</v>
      </c>
      <c r="T585" s="43">
        <v>4</v>
      </c>
      <c r="U585" s="41">
        <f t="shared" si="1148"/>
        <v>14000</v>
      </c>
      <c r="V585" s="41">
        <v>0</v>
      </c>
      <c r="W585" s="41">
        <v>0</v>
      </c>
      <c r="X585" s="43">
        <v>0</v>
      </c>
      <c r="Y585" s="41">
        <f t="shared" si="1150"/>
        <v>0</v>
      </c>
      <c r="Z585" s="43">
        <v>0</v>
      </c>
      <c r="AA585" s="41">
        <f t="shared" si="1151"/>
        <v>0</v>
      </c>
      <c r="AB585" s="43">
        <v>0</v>
      </c>
      <c r="AC585" s="41">
        <f t="shared" si="1152"/>
        <v>0</v>
      </c>
      <c r="AD585" s="41">
        <v>0</v>
      </c>
      <c r="AE585" s="41">
        <v>0</v>
      </c>
      <c r="AF585" s="41">
        <v>0</v>
      </c>
      <c r="AG585" s="41">
        <f t="shared" si="1154"/>
        <v>0</v>
      </c>
      <c r="AH585" s="41">
        <v>0</v>
      </c>
      <c r="AI585" s="41">
        <f t="shared" si="1155"/>
        <v>0</v>
      </c>
      <c r="AJ585" s="41">
        <v>0</v>
      </c>
      <c r="AK585" s="41">
        <f t="shared" si="1156"/>
        <v>0</v>
      </c>
      <c r="AL585" s="33">
        <f t="shared" si="971"/>
        <v>14000</v>
      </c>
    </row>
    <row r="586" spans="2:38" ht="57.75" x14ac:dyDescent="0.25">
      <c r="B586" s="14">
        <v>51107</v>
      </c>
      <c r="C586" s="25" t="s">
        <v>469</v>
      </c>
      <c r="D586" s="14">
        <v>0</v>
      </c>
      <c r="E586" s="14">
        <v>1</v>
      </c>
      <c r="F586" s="12" t="s">
        <v>49</v>
      </c>
      <c r="G586" s="27" t="s">
        <v>42</v>
      </c>
      <c r="H586" s="28" t="s">
        <v>43</v>
      </c>
      <c r="I586" s="143" t="s">
        <v>44</v>
      </c>
      <c r="J586" s="144"/>
      <c r="K586" s="38">
        <v>9000</v>
      </c>
      <c r="L586" s="29">
        <f>E586*K586</f>
        <v>9000</v>
      </c>
      <c r="M586" s="34"/>
      <c r="N586" s="35">
        <v>0</v>
      </c>
      <c r="O586" s="34">
        <v>0</v>
      </c>
      <c r="P586" s="31">
        <f>O586*K586</f>
        <v>0</v>
      </c>
      <c r="Q586" s="41">
        <v>0</v>
      </c>
      <c r="R586" s="41">
        <v>0</v>
      </c>
      <c r="S586" s="41">
        <f t="shared" si="1147"/>
        <v>0</v>
      </c>
      <c r="T586" s="43">
        <v>0</v>
      </c>
      <c r="U586" s="41">
        <f t="shared" si="1148"/>
        <v>0</v>
      </c>
      <c r="V586" s="41">
        <v>0</v>
      </c>
      <c r="W586" s="41">
        <v>0</v>
      </c>
      <c r="X586" s="43">
        <v>1</v>
      </c>
      <c r="Y586" s="41">
        <f t="shared" si="1150"/>
        <v>9000</v>
      </c>
      <c r="Z586" s="43">
        <v>0</v>
      </c>
      <c r="AA586" s="41">
        <f t="shared" si="1151"/>
        <v>0</v>
      </c>
      <c r="AB586" s="43">
        <v>0</v>
      </c>
      <c r="AC586" s="41">
        <f t="shared" si="1152"/>
        <v>0</v>
      </c>
      <c r="AD586" s="41">
        <v>0</v>
      </c>
      <c r="AE586" s="41">
        <v>0</v>
      </c>
      <c r="AF586" s="41">
        <v>0</v>
      </c>
      <c r="AG586" s="41">
        <f t="shared" si="1154"/>
        <v>0</v>
      </c>
      <c r="AH586" s="41">
        <v>0</v>
      </c>
      <c r="AI586" s="41">
        <f t="shared" si="1155"/>
        <v>0</v>
      </c>
      <c r="AJ586" s="41">
        <v>0</v>
      </c>
      <c r="AK586" s="41">
        <f t="shared" si="1156"/>
        <v>0</v>
      </c>
      <c r="AL586" s="33">
        <f t="shared" si="971"/>
        <v>9000</v>
      </c>
    </row>
    <row r="587" spans="2:38" ht="57.75" x14ac:dyDescent="0.25">
      <c r="B587" s="14">
        <v>51107</v>
      </c>
      <c r="C587" s="25" t="s">
        <v>470</v>
      </c>
      <c r="D587" s="49">
        <v>0</v>
      </c>
      <c r="E587" s="14">
        <v>4</v>
      </c>
      <c r="F587" s="12" t="s">
        <v>49</v>
      </c>
      <c r="G587" s="27"/>
      <c r="H587" s="28" t="s">
        <v>43</v>
      </c>
      <c r="I587" s="143"/>
      <c r="J587" s="144"/>
      <c r="K587" s="38">
        <v>3500</v>
      </c>
      <c r="L587" s="29">
        <f t="shared" ref="L587" si="1159">E587*K587</f>
        <v>14000</v>
      </c>
      <c r="M587" s="34"/>
      <c r="N587" s="35">
        <v>0</v>
      </c>
      <c r="O587" s="34">
        <v>0</v>
      </c>
      <c r="P587" s="31">
        <f t="shared" ref="P587" si="1160">O587*K587</f>
        <v>0</v>
      </c>
      <c r="Q587" s="41">
        <v>0</v>
      </c>
      <c r="R587" s="41">
        <v>0</v>
      </c>
      <c r="S587" s="41">
        <f t="shared" si="1147"/>
        <v>0</v>
      </c>
      <c r="T587" s="43">
        <v>0</v>
      </c>
      <c r="U587" s="41">
        <v>0</v>
      </c>
      <c r="V587" s="41">
        <v>0</v>
      </c>
      <c r="W587" s="41">
        <v>0</v>
      </c>
      <c r="X587" s="43">
        <v>4</v>
      </c>
      <c r="Y587" s="41">
        <f t="shared" si="1150"/>
        <v>14000</v>
      </c>
      <c r="Z587" s="43">
        <v>0</v>
      </c>
      <c r="AA587" s="41">
        <f t="shared" si="1151"/>
        <v>0</v>
      </c>
      <c r="AB587" s="43">
        <v>0</v>
      </c>
      <c r="AC587" s="41">
        <f t="shared" si="1152"/>
        <v>0</v>
      </c>
      <c r="AD587" s="41">
        <v>0</v>
      </c>
      <c r="AE587" s="41">
        <v>0</v>
      </c>
      <c r="AF587" s="41">
        <v>0</v>
      </c>
      <c r="AG587" s="41">
        <f t="shared" si="1154"/>
        <v>0</v>
      </c>
      <c r="AH587" s="41">
        <v>0</v>
      </c>
      <c r="AI587" s="41">
        <f t="shared" si="1155"/>
        <v>0</v>
      </c>
      <c r="AJ587" s="41">
        <v>0</v>
      </c>
      <c r="AK587" s="41">
        <f t="shared" si="1156"/>
        <v>0</v>
      </c>
      <c r="AL587" s="33">
        <f t="shared" si="971"/>
        <v>14000</v>
      </c>
    </row>
    <row r="588" spans="2:38" ht="56.25" customHeight="1" x14ac:dyDescent="0.25">
      <c r="B588" s="14">
        <v>51107</v>
      </c>
      <c r="C588" s="37" t="s">
        <v>471</v>
      </c>
      <c r="D588" s="49">
        <v>0</v>
      </c>
      <c r="E588" s="49">
        <v>10</v>
      </c>
      <c r="F588" s="49" t="s">
        <v>226</v>
      </c>
      <c r="G588" s="14" t="s">
        <v>42</v>
      </c>
      <c r="H588" s="28" t="s">
        <v>43</v>
      </c>
      <c r="I588" s="155" t="s">
        <v>44</v>
      </c>
      <c r="J588" s="156"/>
      <c r="K588" s="92">
        <v>825</v>
      </c>
      <c r="L588" s="29">
        <f>E588*K588</f>
        <v>8250</v>
      </c>
      <c r="M588" s="66"/>
      <c r="N588" s="35">
        <v>0</v>
      </c>
      <c r="O588" s="34">
        <v>0</v>
      </c>
      <c r="P588" s="31">
        <v>0</v>
      </c>
      <c r="Q588" s="41">
        <v>0</v>
      </c>
      <c r="R588" s="41">
        <v>0</v>
      </c>
      <c r="S588" s="41">
        <f t="shared" si="1147"/>
        <v>0</v>
      </c>
      <c r="T588" s="43">
        <v>5</v>
      </c>
      <c r="U588" s="41">
        <f>T588*K588</f>
        <v>4125</v>
      </c>
      <c r="V588" s="41">
        <v>0</v>
      </c>
      <c r="W588" s="41">
        <v>0</v>
      </c>
      <c r="X588" s="43">
        <v>5</v>
      </c>
      <c r="Y588" s="41">
        <f t="shared" si="1150"/>
        <v>4125</v>
      </c>
      <c r="Z588" s="43">
        <v>0</v>
      </c>
      <c r="AA588" s="41">
        <f t="shared" si="1151"/>
        <v>0</v>
      </c>
      <c r="AB588" s="43">
        <v>0</v>
      </c>
      <c r="AC588" s="41">
        <f t="shared" si="1152"/>
        <v>0</v>
      </c>
      <c r="AD588" s="41">
        <v>0</v>
      </c>
      <c r="AE588" s="41">
        <v>0</v>
      </c>
      <c r="AF588" s="41">
        <v>0</v>
      </c>
      <c r="AG588" s="41">
        <f t="shared" si="1154"/>
        <v>0</v>
      </c>
      <c r="AH588" s="41">
        <v>0</v>
      </c>
      <c r="AI588" s="41">
        <f t="shared" si="1155"/>
        <v>0</v>
      </c>
      <c r="AJ588" s="41">
        <v>0</v>
      </c>
      <c r="AK588" s="41">
        <f t="shared" si="1156"/>
        <v>0</v>
      </c>
      <c r="AL588" s="33">
        <f t="shared" si="971"/>
        <v>8250</v>
      </c>
    </row>
    <row r="589" spans="2:38" ht="56.25" customHeight="1" x14ac:dyDescent="0.25">
      <c r="B589" s="14">
        <v>51107</v>
      </c>
      <c r="C589" s="37" t="s">
        <v>472</v>
      </c>
      <c r="D589" s="49">
        <v>0</v>
      </c>
      <c r="E589" s="49">
        <v>5</v>
      </c>
      <c r="F589" s="49" t="s">
        <v>226</v>
      </c>
      <c r="G589" s="14" t="s">
        <v>42</v>
      </c>
      <c r="H589" s="28" t="s">
        <v>43</v>
      </c>
      <c r="I589" s="155" t="s">
        <v>44</v>
      </c>
      <c r="J589" s="156"/>
      <c r="K589" s="92">
        <v>2900</v>
      </c>
      <c r="L589" s="29">
        <f>E589*K589</f>
        <v>14500</v>
      </c>
      <c r="M589" s="66"/>
      <c r="N589" s="35">
        <v>0</v>
      </c>
      <c r="O589" s="34">
        <v>0</v>
      </c>
      <c r="P589" s="31">
        <v>0</v>
      </c>
      <c r="Q589" s="41">
        <v>0</v>
      </c>
      <c r="R589" s="41">
        <v>0</v>
      </c>
      <c r="S589" s="41">
        <f t="shared" si="1147"/>
        <v>0</v>
      </c>
      <c r="T589" s="43">
        <v>0</v>
      </c>
      <c r="U589" s="41">
        <v>0</v>
      </c>
      <c r="V589" s="41">
        <v>0</v>
      </c>
      <c r="W589" s="41">
        <v>0</v>
      </c>
      <c r="X589" s="43">
        <v>5</v>
      </c>
      <c r="Y589" s="41">
        <f>X589*K589</f>
        <v>14500</v>
      </c>
      <c r="Z589" s="43">
        <v>0</v>
      </c>
      <c r="AA589" s="41">
        <v>0</v>
      </c>
      <c r="AB589" s="43">
        <v>0</v>
      </c>
      <c r="AC589" s="41">
        <f t="shared" si="1152"/>
        <v>0</v>
      </c>
      <c r="AD589" s="41">
        <v>0</v>
      </c>
      <c r="AE589" s="41">
        <v>0</v>
      </c>
      <c r="AF589" s="41">
        <v>0</v>
      </c>
      <c r="AG589" s="41">
        <f t="shared" si="1154"/>
        <v>0</v>
      </c>
      <c r="AH589" s="41">
        <v>0</v>
      </c>
      <c r="AI589" s="41">
        <f t="shared" si="1155"/>
        <v>0</v>
      </c>
      <c r="AJ589" s="41">
        <v>0</v>
      </c>
      <c r="AK589" s="41">
        <f t="shared" si="1156"/>
        <v>0</v>
      </c>
      <c r="AL589" s="33">
        <f t="shared" ref="AL589:AL611" si="1161">O589+Q589+S589+U589+W589+Y589+AA589+AC589+AE589+AG589+AI589+AK589</f>
        <v>14500</v>
      </c>
    </row>
    <row r="590" spans="2:38" ht="56.25" customHeight="1" x14ac:dyDescent="0.25">
      <c r="B590" s="14">
        <v>51107</v>
      </c>
      <c r="C590" s="37" t="s">
        <v>473</v>
      </c>
      <c r="D590" s="49">
        <v>0</v>
      </c>
      <c r="E590" s="49">
        <v>1</v>
      </c>
      <c r="F590" s="49" t="s">
        <v>226</v>
      </c>
      <c r="G590" s="14" t="s">
        <v>42</v>
      </c>
      <c r="H590" s="28" t="s">
        <v>43</v>
      </c>
      <c r="I590" s="155" t="s">
        <v>44</v>
      </c>
      <c r="J590" s="156"/>
      <c r="K590" s="92">
        <v>2800</v>
      </c>
      <c r="L590" s="29">
        <f>E590*K590</f>
        <v>2800</v>
      </c>
      <c r="M590" s="66"/>
      <c r="N590" s="35">
        <v>0</v>
      </c>
      <c r="O590" s="34">
        <v>0</v>
      </c>
      <c r="P590" s="31">
        <v>0</v>
      </c>
      <c r="Q590" s="41">
        <v>0</v>
      </c>
      <c r="R590" s="41">
        <v>0</v>
      </c>
      <c r="S590" s="41">
        <v>0</v>
      </c>
      <c r="T590" s="43">
        <v>0</v>
      </c>
      <c r="U590" s="41">
        <v>0</v>
      </c>
      <c r="V590" s="41">
        <v>0</v>
      </c>
      <c r="W590" s="41">
        <v>0</v>
      </c>
      <c r="X590" s="43">
        <v>3</v>
      </c>
      <c r="Y590" s="41">
        <f>X590*K590</f>
        <v>8400</v>
      </c>
      <c r="Z590" s="43">
        <v>0</v>
      </c>
      <c r="AA590" s="41">
        <v>0</v>
      </c>
      <c r="AB590" s="43">
        <v>0</v>
      </c>
      <c r="AC590" s="41">
        <f t="shared" si="1152"/>
        <v>0</v>
      </c>
      <c r="AD590" s="41">
        <v>0</v>
      </c>
      <c r="AE590" s="41">
        <v>0</v>
      </c>
      <c r="AF590" s="41">
        <v>0</v>
      </c>
      <c r="AG590" s="41">
        <f t="shared" si="1154"/>
        <v>0</v>
      </c>
      <c r="AH590" s="41">
        <v>0</v>
      </c>
      <c r="AI590" s="41">
        <f t="shared" si="1155"/>
        <v>0</v>
      </c>
      <c r="AJ590" s="41">
        <v>0</v>
      </c>
      <c r="AK590" s="41">
        <f t="shared" si="1156"/>
        <v>0</v>
      </c>
      <c r="AL590" s="33">
        <f t="shared" si="1161"/>
        <v>8400</v>
      </c>
    </row>
    <row r="591" spans="2:38" x14ac:dyDescent="0.25">
      <c r="B591" s="19">
        <v>51500</v>
      </c>
      <c r="C591" s="19"/>
      <c r="D591" s="19"/>
      <c r="E591" s="19"/>
      <c r="F591" s="19"/>
      <c r="G591" s="58"/>
      <c r="H591" s="59"/>
      <c r="I591" s="145"/>
      <c r="J591" s="146"/>
      <c r="K591" s="20"/>
      <c r="L591" s="21">
        <f>SUM(L592:L595)</f>
        <v>483814.11</v>
      </c>
      <c r="M591" s="60">
        <f>M592+M593</f>
        <v>70002</v>
      </c>
      <c r="N591" s="41"/>
      <c r="O591" s="41"/>
      <c r="P591" s="41"/>
      <c r="Q591" s="41"/>
      <c r="R591" s="41"/>
      <c r="S591" s="41"/>
      <c r="T591" s="43"/>
      <c r="U591" s="41"/>
      <c r="V591" s="41"/>
      <c r="W591" s="41"/>
      <c r="X591" s="43"/>
      <c r="Y591" s="41"/>
      <c r="Z591" s="43"/>
      <c r="AA591" s="41"/>
      <c r="AB591" s="43"/>
      <c r="AC591" s="41"/>
      <c r="AD591" s="41"/>
      <c r="AE591" s="41"/>
      <c r="AF591" s="41"/>
      <c r="AG591" s="41"/>
      <c r="AH591" s="41"/>
      <c r="AI591" s="41"/>
      <c r="AJ591" s="41"/>
      <c r="AK591" s="41"/>
      <c r="AL591" s="33"/>
    </row>
    <row r="592" spans="2:38" ht="57.75" x14ac:dyDescent="0.25">
      <c r="B592" s="49">
        <v>51503</v>
      </c>
      <c r="C592" s="49" t="s">
        <v>474</v>
      </c>
      <c r="D592" s="49">
        <v>0</v>
      </c>
      <c r="E592" s="49">
        <v>1</v>
      </c>
      <c r="F592" s="49" t="s">
        <v>49</v>
      </c>
      <c r="G592" s="64" t="s">
        <v>89</v>
      </c>
      <c r="H592" s="28" t="s">
        <v>43</v>
      </c>
      <c r="I592" s="143" t="s">
        <v>44</v>
      </c>
      <c r="J592" s="144"/>
      <c r="K592" s="50">
        <v>466957.8</v>
      </c>
      <c r="L592" s="50">
        <f>E592*K592</f>
        <v>466957.8</v>
      </c>
      <c r="M592" s="1">
        <v>70002</v>
      </c>
      <c r="N592" s="41">
        <v>0</v>
      </c>
      <c r="O592" s="41">
        <f t="shared" ref="O592:O595" si="1162">N592*K592</f>
        <v>0</v>
      </c>
      <c r="P592" s="41">
        <v>0</v>
      </c>
      <c r="Q592" s="41">
        <f t="shared" ref="Q592:Q593" si="1163">K592*P592</f>
        <v>0</v>
      </c>
      <c r="R592" s="41">
        <v>3</v>
      </c>
      <c r="S592" s="41">
        <f t="shared" ref="S592:S595" si="1164">K592*R592</f>
        <v>1400873.4</v>
      </c>
      <c r="T592" s="43">
        <v>0</v>
      </c>
      <c r="U592" s="41">
        <f t="shared" ref="U592:U593" si="1165">K592*T592</f>
        <v>0</v>
      </c>
      <c r="V592" s="41">
        <v>0</v>
      </c>
      <c r="W592" s="41">
        <f t="shared" ref="W592:W593" si="1166">K592*V592</f>
        <v>0</v>
      </c>
      <c r="X592" s="43">
        <v>0</v>
      </c>
      <c r="Y592" s="41">
        <v>0</v>
      </c>
      <c r="Z592" s="43">
        <v>0</v>
      </c>
      <c r="AA592" s="41">
        <f t="shared" ref="AA592:AA593" si="1167">K592*Z592</f>
        <v>0</v>
      </c>
      <c r="AB592" s="43">
        <v>0</v>
      </c>
      <c r="AC592" s="41">
        <f t="shared" ref="AC592:AC593" si="1168">K592*AB592</f>
        <v>0</v>
      </c>
      <c r="AD592" s="41">
        <v>0</v>
      </c>
      <c r="AE592" s="41">
        <f t="shared" ref="AE592:AE593" si="1169">K592*AD592</f>
        <v>0</v>
      </c>
      <c r="AF592" s="41">
        <v>0</v>
      </c>
      <c r="AG592" s="41">
        <f t="shared" ref="AG592:AG595" si="1170">K592*AF592</f>
        <v>0</v>
      </c>
      <c r="AH592" s="41">
        <v>0</v>
      </c>
      <c r="AI592" s="41">
        <f t="shared" ref="AI592:AI595" si="1171">K592*AH592</f>
        <v>0</v>
      </c>
      <c r="AJ592" s="41">
        <v>0</v>
      </c>
      <c r="AK592" s="41">
        <f t="shared" ref="AK592:AK595" si="1172">K592*AJ592</f>
        <v>0</v>
      </c>
      <c r="AL592" s="33">
        <f t="shared" si="1161"/>
        <v>1400873.4</v>
      </c>
    </row>
    <row r="593" spans="2:38" ht="57.75" x14ac:dyDescent="0.25">
      <c r="B593" s="49">
        <v>51503</v>
      </c>
      <c r="C593" s="49" t="s">
        <v>475</v>
      </c>
      <c r="D593" s="49">
        <v>0</v>
      </c>
      <c r="E593" s="49">
        <v>1</v>
      </c>
      <c r="F593" s="49" t="s">
        <v>49</v>
      </c>
      <c r="G593" s="64" t="s">
        <v>89</v>
      </c>
      <c r="H593" s="28" t="s">
        <v>43</v>
      </c>
      <c r="I593" s="143" t="s">
        <v>44</v>
      </c>
      <c r="J593" s="144"/>
      <c r="K593" s="50">
        <v>15603.31</v>
      </c>
      <c r="L593" s="50">
        <f>E593*K593</f>
        <v>15603.31</v>
      </c>
      <c r="N593" s="41">
        <v>0</v>
      </c>
      <c r="O593" s="41">
        <f t="shared" si="1162"/>
        <v>0</v>
      </c>
      <c r="P593" s="41">
        <v>0</v>
      </c>
      <c r="Q593" s="41">
        <f t="shared" si="1163"/>
        <v>0</v>
      </c>
      <c r="R593" s="41">
        <v>2</v>
      </c>
      <c r="S593" s="41">
        <f t="shared" si="1164"/>
        <v>31206.62</v>
      </c>
      <c r="T593" s="43">
        <v>0</v>
      </c>
      <c r="U593" s="41">
        <f t="shared" si="1165"/>
        <v>0</v>
      </c>
      <c r="V593" s="41">
        <v>0</v>
      </c>
      <c r="W593" s="41">
        <f t="shared" si="1166"/>
        <v>0</v>
      </c>
      <c r="X593" s="43">
        <v>0</v>
      </c>
      <c r="Y593" s="41">
        <f t="shared" ref="Y593" si="1173">K593*X593</f>
        <v>0</v>
      </c>
      <c r="Z593" s="43">
        <v>0</v>
      </c>
      <c r="AA593" s="41">
        <f t="shared" si="1167"/>
        <v>0</v>
      </c>
      <c r="AB593" s="43">
        <v>0</v>
      </c>
      <c r="AC593" s="41">
        <f t="shared" si="1168"/>
        <v>0</v>
      </c>
      <c r="AD593" s="41">
        <v>0</v>
      </c>
      <c r="AE593" s="41">
        <f t="shared" si="1169"/>
        <v>0</v>
      </c>
      <c r="AF593" s="41">
        <v>0</v>
      </c>
      <c r="AG593" s="41">
        <f t="shared" si="1170"/>
        <v>0</v>
      </c>
      <c r="AH593" s="41">
        <v>0</v>
      </c>
      <c r="AI593" s="41">
        <f t="shared" si="1171"/>
        <v>0</v>
      </c>
      <c r="AJ593" s="41">
        <v>0</v>
      </c>
      <c r="AK593" s="41">
        <f t="shared" si="1172"/>
        <v>0</v>
      </c>
      <c r="AL593" s="33">
        <f t="shared" si="1161"/>
        <v>31206.62</v>
      </c>
    </row>
    <row r="594" spans="2:38" ht="57.75" x14ac:dyDescent="0.25">
      <c r="B594" s="14">
        <v>51503</v>
      </c>
      <c r="C594" s="25" t="s">
        <v>476</v>
      </c>
      <c r="D594" s="49">
        <v>0</v>
      </c>
      <c r="E594" s="14">
        <v>4</v>
      </c>
      <c r="F594" s="12" t="s">
        <v>49</v>
      </c>
      <c r="G594" s="27" t="s">
        <v>42</v>
      </c>
      <c r="H594" s="28" t="s">
        <v>43</v>
      </c>
      <c r="I594" s="143" t="s">
        <v>44</v>
      </c>
      <c r="J594" s="144"/>
      <c r="K594" s="38">
        <v>313</v>
      </c>
      <c r="L594" s="29">
        <f t="shared" ref="L594" si="1174">E594*K594</f>
        <v>1252</v>
      </c>
      <c r="N594" s="41"/>
      <c r="O594" s="41"/>
      <c r="P594" s="41"/>
      <c r="Q594" s="41"/>
      <c r="R594" s="41"/>
      <c r="S594" s="41"/>
      <c r="T594" s="43"/>
      <c r="U594" s="41"/>
      <c r="V594" s="41"/>
      <c r="W594" s="41"/>
      <c r="X594" s="43"/>
      <c r="Y594" s="41"/>
      <c r="Z594" s="43"/>
      <c r="AA594" s="41"/>
      <c r="AB594" s="43"/>
      <c r="AC594" s="41"/>
      <c r="AD594" s="41"/>
      <c r="AE594" s="41"/>
      <c r="AF594" s="41"/>
      <c r="AG594" s="41"/>
      <c r="AH594" s="41"/>
      <c r="AI594" s="41"/>
      <c r="AJ594" s="41"/>
      <c r="AK594" s="41"/>
      <c r="AL594" s="33"/>
    </row>
    <row r="595" spans="2:38" ht="29.25" customHeight="1" x14ac:dyDescent="0.25">
      <c r="B595" s="14">
        <v>51504</v>
      </c>
      <c r="C595" s="25" t="s">
        <v>539</v>
      </c>
      <c r="D595" s="49">
        <v>0</v>
      </c>
      <c r="E595" s="14">
        <v>1</v>
      </c>
      <c r="F595" s="12" t="s">
        <v>49</v>
      </c>
      <c r="G595" s="27" t="s">
        <v>42</v>
      </c>
      <c r="H595" s="28" t="s">
        <v>43</v>
      </c>
      <c r="I595" s="143" t="s">
        <v>44</v>
      </c>
      <c r="J595" s="144"/>
      <c r="K595" s="38">
        <v>1</v>
      </c>
      <c r="L595" s="29">
        <f t="shared" ref="L595" si="1175">E595*K595</f>
        <v>1</v>
      </c>
      <c r="M595" s="34"/>
      <c r="N595" s="35">
        <v>0</v>
      </c>
      <c r="O595" s="41">
        <f t="shared" si="1162"/>
        <v>0</v>
      </c>
      <c r="P595" s="41">
        <v>0</v>
      </c>
      <c r="Q595" s="41">
        <v>0</v>
      </c>
      <c r="R595" s="41">
        <v>4</v>
      </c>
      <c r="S595" s="41">
        <f t="shared" si="1164"/>
        <v>4</v>
      </c>
      <c r="T595" s="43">
        <v>0</v>
      </c>
      <c r="U595" s="41">
        <v>0</v>
      </c>
      <c r="V595" s="41">
        <v>0</v>
      </c>
      <c r="W595" s="41">
        <v>0</v>
      </c>
      <c r="X595" s="43">
        <v>0</v>
      </c>
      <c r="Y595" s="41">
        <v>0</v>
      </c>
      <c r="Z595" s="43">
        <v>0</v>
      </c>
      <c r="AA595" s="41">
        <v>0</v>
      </c>
      <c r="AB595" s="43">
        <v>0</v>
      </c>
      <c r="AC595" s="41">
        <v>0</v>
      </c>
      <c r="AD595" s="41">
        <v>0</v>
      </c>
      <c r="AE595" s="41">
        <v>0</v>
      </c>
      <c r="AF595" s="41">
        <v>0</v>
      </c>
      <c r="AG595" s="41">
        <f t="shared" si="1170"/>
        <v>0</v>
      </c>
      <c r="AH595" s="41">
        <v>0</v>
      </c>
      <c r="AI595" s="41">
        <f t="shared" si="1171"/>
        <v>0</v>
      </c>
      <c r="AJ595" s="41">
        <v>0</v>
      </c>
      <c r="AK595" s="41">
        <f t="shared" si="1172"/>
        <v>0</v>
      </c>
      <c r="AL595" s="33">
        <f t="shared" si="1161"/>
        <v>4</v>
      </c>
    </row>
    <row r="596" spans="2:38" x14ac:dyDescent="0.25">
      <c r="B596" s="19">
        <v>51900</v>
      </c>
      <c r="C596" s="19"/>
      <c r="D596" s="19"/>
      <c r="E596" s="19"/>
      <c r="F596" s="19"/>
      <c r="G596" s="58"/>
      <c r="H596" s="59"/>
      <c r="I596" s="145"/>
      <c r="J596" s="146"/>
      <c r="K596" s="20"/>
      <c r="L596" s="21">
        <f>SUM(L597:L600)</f>
        <v>72776.740000000005</v>
      </c>
      <c r="M596" s="60">
        <f>SUM(M600:M600)</f>
        <v>38000</v>
      </c>
      <c r="N596" s="41"/>
      <c r="O596" s="41"/>
      <c r="P596" s="41"/>
      <c r="Q596" s="41"/>
      <c r="R596" s="41"/>
      <c r="S596" s="41"/>
      <c r="T596" s="43"/>
      <c r="U596" s="41"/>
      <c r="V596" s="41"/>
      <c r="W596" s="41"/>
      <c r="X596" s="43"/>
      <c r="Y596" s="41"/>
      <c r="Z596" s="43"/>
      <c r="AA596" s="41"/>
      <c r="AB596" s="43"/>
      <c r="AC596" s="41"/>
      <c r="AD596" s="41"/>
      <c r="AE596" s="41"/>
      <c r="AF596" s="41"/>
      <c r="AG596" s="41"/>
      <c r="AH596" s="41"/>
      <c r="AI596" s="41"/>
      <c r="AJ596" s="41"/>
      <c r="AK596" s="41"/>
      <c r="AL596" s="33"/>
    </row>
    <row r="597" spans="2:38" ht="57.75" x14ac:dyDescent="0.25">
      <c r="B597" s="49">
        <v>51901</v>
      </c>
      <c r="C597" s="49" t="s">
        <v>484</v>
      </c>
      <c r="D597" s="49">
        <v>0</v>
      </c>
      <c r="E597" s="49">
        <v>1</v>
      </c>
      <c r="F597" s="49" t="s">
        <v>49</v>
      </c>
      <c r="G597" s="27" t="s">
        <v>398</v>
      </c>
      <c r="H597" s="28" t="s">
        <v>43</v>
      </c>
      <c r="I597" s="143" t="s">
        <v>44</v>
      </c>
      <c r="J597" s="144"/>
      <c r="K597" s="50">
        <v>10000</v>
      </c>
      <c r="L597" s="50">
        <f t="shared" ref="L597:L598" si="1176">E597*K597</f>
        <v>10000</v>
      </c>
      <c r="M597" s="44"/>
      <c r="N597" s="41"/>
      <c r="O597" s="41"/>
      <c r="P597" s="41"/>
      <c r="Q597" s="41"/>
      <c r="R597" s="41"/>
      <c r="S597" s="41"/>
      <c r="T597" s="43"/>
      <c r="U597" s="41"/>
      <c r="V597" s="41"/>
      <c r="W597" s="41"/>
      <c r="X597" s="43"/>
      <c r="Y597" s="41"/>
      <c r="Z597" s="43"/>
      <c r="AA597" s="41"/>
      <c r="AB597" s="43"/>
      <c r="AC597" s="41"/>
      <c r="AD597" s="41"/>
      <c r="AE597" s="41"/>
      <c r="AF597" s="41"/>
      <c r="AG597" s="41"/>
      <c r="AH597" s="41"/>
      <c r="AI597" s="41"/>
      <c r="AJ597" s="41"/>
      <c r="AK597" s="41"/>
      <c r="AL597" s="33"/>
    </row>
    <row r="598" spans="2:38" ht="57.75" x14ac:dyDescent="0.25">
      <c r="B598" s="49">
        <v>51903</v>
      </c>
      <c r="C598" s="49" t="s">
        <v>485</v>
      </c>
      <c r="D598" s="49">
        <v>0</v>
      </c>
      <c r="E598" s="49">
        <v>1</v>
      </c>
      <c r="F598" s="49" t="s">
        <v>49</v>
      </c>
      <c r="G598" s="27" t="s">
        <v>398</v>
      </c>
      <c r="H598" s="28" t="s">
        <v>43</v>
      </c>
      <c r="I598" s="143" t="s">
        <v>44</v>
      </c>
      <c r="J598" s="144"/>
      <c r="K598" s="50">
        <v>45001</v>
      </c>
      <c r="L598" s="50">
        <f t="shared" si="1176"/>
        <v>45001</v>
      </c>
      <c r="M598" s="44"/>
      <c r="N598" s="41"/>
      <c r="O598" s="41"/>
      <c r="P598" s="41"/>
      <c r="Q598" s="41"/>
      <c r="R598" s="41"/>
      <c r="S598" s="41"/>
      <c r="T598" s="43"/>
      <c r="U598" s="41"/>
      <c r="V598" s="41"/>
      <c r="W598" s="41"/>
      <c r="X598" s="43"/>
      <c r="Y598" s="41"/>
      <c r="Z598" s="43"/>
      <c r="AA598" s="41"/>
      <c r="AB598" s="43"/>
      <c r="AC598" s="41"/>
      <c r="AD598" s="41"/>
      <c r="AE598" s="41"/>
      <c r="AF598" s="41"/>
      <c r="AG598" s="41"/>
      <c r="AH598" s="41"/>
      <c r="AI598" s="41"/>
      <c r="AJ598" s="41"/>
      <c r="AK598" s="41"/>
      <c r="AL598" s="33"/>
    </row>
    <row r="599" spans="2:38" ht="57.75" x14ac:dyDescent="0.25">
      <c r="B599" s="49">
        <v>51907</v>
      </c>
      <c r="C599" s="49" t="s">
        <v>540</v>
      </c>
      <c r="D599" s="49">
        <v>0</v>
      </c>
      <c r="E599" s="49">
        <v>1</v>
      </c>
      <c r="F599" s="49" t="s">
        <v>49</v>
      </c>
      <c r="G599" s="64" t="s">
        <v>416</v>
      </c>
      <c r="H599" s="28" t="s">
        <v>43</v>
      </c>
      <c r="I599" s="143" t="s">
        <v>44</v>
      </c>
      <c r="J599" s="144"/>
      <c r="K599" s="50">
        <v>1</v>
      </c>
      <c r="L599" s="50">
        <f>E599*K599</f>
        <v>1</v>
      </c>
      <c r="M599" s="44"/>
      <c r="N599" s="41"/>
      <c r="O599" s="41"/>
      <c r="P599" s="41"/>
      <c r="Q599" s="41"/>
      <c r="R599" s="41"/>
      <c r="S599" s="41"/>
      <c r="T599" s="43"/>
      <c r="U599" s="41"/>
      <c r="V599" s="41"/>
      <c r="W599" s="41"/>
      <c r="X599" s="43"/>
      <c r="Y599" s="41"/>
      <c r="Z599" s="43"/>
      <c r="AA599" s="41"/>
      <c r="AB599" s="43"/>
      <c r="AC599" s="41"/>
      <c r="AD599" s="41"/>
      <c r="AE599" s="41"/>
      <c r="AF599" s="41"/>
      <c r="AG599" s="41"/>
      <c r="AH599" s="41"/>
      <c r="AI599" s="41"/>
      <c r="AJ599" s="41"/>
      <c r="AK599" s="41"/>
      <c r="AL599" s="33"/>
    </row>
    <row r="600" spans="2:38" ht="57.75" x14ac:dyDescent="0.25">
      <c r="B600" s="49">
        <v>51908</v>
      </c>
      <c r="C600" s="49" t="s">
        <v>477</v>
      </c>
      <c r="D600" s="49">
        <v>0</v>
      </c>
      <c r="E600" s="49">
        <v>1</v>
      </c>
      <c r="F600" s="49" t="s">
        <v>49</v>
      </c>
      <c r="G600" s="64" t="s">
        <v>416</v>
      </c>
      <c r="H600" s="28" t="s">
        <v>43</v>
      </c>
      <c r="I600" s="143" t="s">
        <v>44</v>
      </c>
      <c r="J600" s="144"/>
      <c r="K600" s="50">
        <v>17774.740000000002</v>
      </c>
      <c r="L600" s="50">
        <f>E600*K600</f>
        <v>17774.740000000002</v>
      </c>
      <c r="M600" s="1">
        <v>38000</v>
      </c>
      <c r="N600" s="41">
        <v>0</v>
      </c>
      <c r="O600" s="41">
        <f t="shared" ref="O600" si="1177">N600*K600</f>
        <v>0</v>
      </c>
      <c r="P600" s="41">
        <v>0</v>
      </c>
      <c r="Q600" s="41">
        <f t="shared" ref="Q600" si="1178">K600*P600</f>
        <v>0</v>
      </c>
      <c r="R600" s="41">
        <v>0</v>
      </c>
      <c r="S600" s="41">
        <f t="shared" ref="S600" si="1179">K600*R600</f>
        <v>0</v>
      </c>
      <c r="T600" s="43">
        <v>2</v>
      </c>
      <c r="U600" s="41">
        <f t="shared" ref="U600" si="1180">K600*T600</f>
        <v>35549.480000000003</v>
      </c>
      <c r="V600" s="41">
        <v>0</v>
      </c>
      <c r="W600" s="41">
        <f t="shared" ref="W600" si="1181">K600*V600</f>
        <v>0</v>
      </c>
      <c r="X600" s="43">
        <v>0</v>
      </c>
      <c r="Y600" s="41">
        <f t="shared" ref="Y600" si="1182">K600*X600</f>
        <v>0</v>
      </c>
      <c r="Z600" s="43">
        <v>0</v>
      </c>
      <c r="AA600" s="41">
        <f t="shared" ref="AA600" si="1183">K600*Z600</f>
        <v>0</v>
      </c>
      <c r="AB600" s="43">
        <v>0</v>
      </c>
      <c r="AC600" s="41">
        <f t="shared" ref="AC600" si="1184">K600*AB600</f>
        <v>0</v>
      </c>
      <c r="AD600" s="41">
        <v>0</v>
      </c>
      <c r="AE600" s="41">
        <f t="shared" ref="AE600" si="1185">K600*AD600</f>
        <v>0</v>
      </c>
      <c r="AF600" s="41">
        <v>0</v>
      </c>
      <c r="AG600" s="41">
        <f t="shared" ref="AG600" si="1186">K600*AF600</f>
        <v>0</v>
      </c>
      <c r="AH600" s="41">
        <v>0</v>
      </c>
      <c r="AI600" s="41">
        <f t="shared" ref="AI600" si="1187">K600*AH600</f>
        <v>0</v>
      </c>
      <c r="AJ600" s="41">
        <v>0</v>
      </c>
      <c r="AK600" s="41">
        <f t="shared" ref="AK600" si="1188">K600*AJ600</f>
        <v>0</v>
      </c>
      <c r="AL600" s="33">
        <f t="shared" si="1161"/>
        <v>35549.480000000003</v>
      </c>
    </row>
    <row r="601" spans="2:38" x14ac:dyDescent="0.25">
      <c r="B601" s="19">
        <v>52000</v>
      </c>
      <c r="C601" s="19"/>
      <c r="D601" s="19"/>
      <c r="E601" s="19"/>
      <c r="F601" s="19"/>
      <c r="G601" s="58"/>
      <c r="H601" s="59"/>
      <c r="I601" s="145"/>
      <c r="J601" s="146"/>
      <c r="K601" s="20"/>
      <c r="L601" s="21">
        <f>SUM(L602:L602)</f>
        <v>9589.84</v>
      </c>
      <c r="M601" s="60">
        <f>SUM(M602:M602)</f>
        <v>0</v>
      </c>
      <c r="N601" s="41"/>
      <c r="O601" s="41"/>
      <c r="P601" s="41"/>
      <c r="Q601" s="41"/>
      <c r="R601" s="41"/>
      <c r="S601" s="41"/>
      <c r="T601" s="43"/>
      <c r="U601" s="41"/>
      <c r="V601" s="41"/>
      <c r="W601" s="41"/>
      <c r="X601" s="43"/>
      <c r="Y601" s="41"/>
      <c r="Z601" s="43"/>
      <c r="AA601" s="41"/>
      <c r="AB601" s="43"/>
      <c r="AC601" s="41"/>
      <c r="AD601" s="41"/>
      <c r="AE601" s="41"/>
      <c r="AF601" s="41"/>
      <c r="AG601" s="41"/>
      <c r="AH601" s="41"/>
      <c r="AI601" s="41"/>
      <c r="AJ601" s="41"/>
      <c r="AK601" s="41"/>
      <c r="AL601" s="33"/>
    </row>
    <row r="602" spans="2:38" x14ac:dyDescent="0.25">
      <c r="B602" s="19">
        <v>52100</v>
      </c>
      <c r="C602" s="19"/>
      <c r="D602" s="19"/>
      <c r="E602" s="19"/>
      <c r="F602" s="19"/>
      <c r="G602" s="58"/>
      <c r="H602" s="68"/>
      <c r="I602" s="145"/>
      <c r="J602" s="146"/>
      <c r="K602" s="20"/>
      <c r="L602" s="99">
        <f>SUM(L603:L604)</f>
        <v>9589.84</v>
      </c>
      <c r="N602" s="41"/>
      <c r="O602" s="41"/>
      <c r="P602" s="41"/>
      <c r="Q602" s="41"/>
      <c r="R602" s="41"/>
      <c r="S602" s="41"/>
      <c r="T602" s="43"/>
      <c r="U602" s="41"/>
      <c r="V602" s="41"/>
      <c r="W602" s="41"/>
      <c r="X602" s="43"/>
      <c r="Y602" s="41"/>
      <c r="Z602" s="43"/>
      <c r="AA602" s="41"/>
      <c r="AB602" s="43"/>
      <c r="AC602" s="41"/>
      <c r="AD602" s="41"/>
      <c r="AE602" s="41"/>
      <c r="AF602" s="41"/>
      <c r="AG602" s="41"/>
      <c r="AH602" s="41"/>
      <c r="AI602" s="41"/>
      <c r="AJ602" s="41"/>
      <c r="AK602" s="41"/>
      <c r="AL602" s="33"/>
    </row>
    <row r="603" spans="2:38" ht="57.75" x14ac:dyDescent="0.25">
      <c r="B603" s="49">
        <v>52101</v>
      </c>
      <c r="C603" s="49" t="s">
        <v>478</v>
      </c>
      <c r="D603" s="49">
        <v>0</v>
      </c>
      <c r="E603" s="49">
        <v>1</v>
      </c>
      <c r="F603" s="49" t="s">
        <v>49</v>
      </c>
      <c r="G603" s="64" t="s">
        <v>430</v>
      </c>
      <c r="H603" s="28" t="s">
        <v>43</v>
      </c>
      <c r="I603" s="143" t="s">
        <v>44</v>
      </c>
      <c r="J603" s="144"/>
      <c r="K603" s="50">
        <v>9588.84</v>
      </c>
      <c r="L603" s="50">
        <f>E603*K603</f>
        <v>9588.84</v>
      </c>
      <c r="N603" s="41">
        <v>0</v>
      </c>
      <c r="O603" s="41">
        <v>0</v>
      </c>
      <c r="P603" s="41">
        <v>2</v>
      </c>
      <c r="Q603" s="41">
        <f>P603*K603</f>
        <v>19177.68</v>
      </c>
      <c r="R603" s="41"/>
      <c r="S603" s="41"/>
      <c r="T603" s="43"/>
      <c r="U603" s="41"/>
      <c r="V603" s="41"/>
      <c r="W603" s="41"/>
      <c r="X603" s="43"/>
      <c r="Y603" s="41"/>
      <c r="Z603" s="43"/>
      <c r="AA603" s="41"/>
      <c r="AB603" s="43"/>
      <c r="AC603" s="41"/>
      <c r="AD603" s="41"/>
      <c r="AE603" s="41"/>
      <c r="AF603" s="41"/>
      <c r="AG603" s="41"/>
      <c r="AH603" s="41"/>
      <c r="AI603" s="41"/>
      <c r="AJ603" s="41"/>
      <c r="AK603" s="41"/>
      <c r="AL603" s="33">
        <f t="shared" si="1161"/>
        <v>19177.68</v>
      </c>
    </row>
    <row r="604" spans="2:38" ht="57.75" x14ac:dyDescent="0.25">
      <c r="B604" s="49">
        <v>52301</v>
      </c>
      <c r="C604" s="49" t="s">
        <v>541</v>
      </c>
      <c r="D604" s="49">
        <v>0</v>
      </c>
      <c r="E604" s="49">
        <v>1</v>
      </c>
      <c r="F604" s="49" t="s">
        <v>49</v>
      </c>
      <c r="G604" s="64" t="s">
        <v>430</v>
      </c>
      <c r="H604" s="28" t="s">
        <v>43</v>
      </c>
      <c r="I604" s="143" t="s">
        <v>44</v>
      </c>
      <c r="J604" s="144"/>
      <c r="K604" s="50">
        <v>1</v>
      </c>
      <c r="L604" s="50">
        <f>E604*K604</f>
        <v>1</v>
      </c>
      <c r="N604" s="41"/>
      <c r="O604" s="41"/>
      <c r="P604" s="41"/>
      <c r="Q604" s="41"/>
      <c r="R604" s="41"/>
      <c r="S604" s="41"/>
      <c r="T604" s="43"/>
      <c r="U604" s="41"/>
      <c r="V604" s="41"/>
      <c r="W604" s="41"/>
      <c r="X604" s="43"/>
      <c r="Y604" s="41"/>
      <c r="Z604" s="43"/>
      <c r="AA604" s="41"/>
      <c r="AB604" s="43"/>
      <c r="AC604" s="41"/>
      <c r="AD604" s="41"/>
      <c r="AE604" s="41"/>
      <c r="AF604" s="41"/>
      <c r="AG604" s="41"/>
      <c r="AH604" s="41"/>
      <c r="AI604" s="41"/>
      <c r="AJ604" s="41"/>
      <c r="AK604" s="41"/>
      <c r="AL604" s="33"/>
    </row>
    <row r="605" spans="2:38" x14ac:dyDescent="0.25">
      <c r="B605" s="19">
        <v>56000</v>
      </c>
      <c r="C605" s="19"/>
      <c r="D605" s="19"/>
      <c r="E605" s="19"/>
      <c r="F605" s="19"/>
      <c r="G605" s="58"/>
      <c r="H605" s="68"/>
      <c r="I605" s="145"/>
      <c r="J605" s="146"/>
      <c r="K605" s="20"/>
      <c r="L605" s="100">
        <f>SUM(L606:L611)</f>
        <v>8003</v>
      </c>
      <c r="M605" s="101" t="e">
        <f>#REF!+M606</f>
        <v>#REF!</v>
      </c>
      <c r="N605" s="41"/>
      <c r="O605" s="41"/>
      <c r="P605" s="41"/>
      <c r="Q605" s="41"/>
      <c r="R605" s="41"/>
      <c r="S605" s="41"/>
      <c r="T605" s="43"/>
      <c r="U605" s="41"/>
      <c r="V605" s="41"/>
      <c r="W605" s="41"/>
      <c r="X605" s="43"/>
      <c r="Y605" s="41"/>
      <c r="Z605" s="43"/>
      <c r="AA605" s="41"/>
      <c r="AB605" s="43"/>
      <c r="AC605" s="41"/>
      <c r="AD605" s="41"/>
      <c r="AE605" s="41"/>
      <c r="AF605" s="41"/>
      <c r="AG605" s="41"/>
      <c r="AH605" s="41"/>
      <c r="AI605" s="41"/>
      <c r="AJ605" s="41"/>
      <c r="AK605" s="41"/>
      <c r="AL605" s="33"/>
    </row>
    <row r="606" spans="2:38" ht="57.75" x14ac:dyDescent="0.25">
      <c r="B606" s="49">
        <v>56502</v>
      </c>
      <c r="C606" s="49" t="s">
        <v>542</v>
      </c>
      <c r="D606" s="49">
        <v>0</v>
      </c>
      <c r="E606" s="49">
        <v>1</v>
      </c>
      <c r="F606" s="49" t="s">
        <v>49</v>
      </c>
      <c r="G606" s="64" t="s">
        <v>416</v>
      </c>
      <c r="H606" s="28" t="s">
        <v>43</v>
      </c>
      <c r="I606" s="143" t="s">
        <v>44</v>
      </c>
      <c r="J606" s="144"/>
      <c r="K606" s="50">
        <v>2001</v>
      </c>
      <c r="L606" s="50">
        <f t="shared" ref="L606:L611" si="1189">E606*K606</f>
        <v>2001</v>
      </c>
      <c r="M606" s="60">
        <f>SUM(M611:M615)</f>
        <v>3000</v>
      </c>
      <c r="N606" s="41"/>
      <c r="O606" s="41"/>
      <c r="P606" s="41"/>
      <c r="Q606" s="41"/>
      <c r="R606" s="41"/>
      <c r="S606" s="41"/>
      <c r="T606" s="43"/>
      <c r="U606" s="41"/>
      <c r="V606" s="41"/>
      <c r="W606" s="41"/>
      <c r="X606" s="43"/>
      <c r="Y606" s="41"/>
      <c r="Z606" s="43"/>
      <c r="AA606" s="41"/>
      <c r="AB606" s="43"/>
      <c r="AC606" s="41"/>
      <c r="AD606" s="41"/>
      <c r="AE606" s="41"/>
      <c r="AF606" s="41"/>
      <c r="AG606" s="41"/>
      <c r="AH606" s="41"/>
      <c r="AI606" s="41"/>
      <c r="AJ606" s="41"/>
      <c r="AK606" s="41"/>
      <c r="AL606" s="33"/>
    </row>
    <row r="607" spans="2:38" ht="57.75" x14ac:dyDescent="0.25">
      <c r="B607" s="49">
        <v>56503</v>
      </c>
      <c r="C607" s="49" t="s">
        <v>543</v>
      </c>
      <c r="D607" s="49">
        <v>0</v>
      </c>
      <c r="E607" s="49">
        <v>1</v>
      </c>
      <c r="F607" s="49" t="s">
        <v>49</v>
      </c>
      <c r="G607" s="64" t="s">
        <v>416</v>
      </c>
      <c r="H607" s="28" t="s">
        <v>43</v>
      </c>
      <c r="I607" s="143" t="s">
        <v>44</v>
      </c>
      <c r="J607" s="144"/>
      <c r="K607" s="50">
        <v>1</v>
      </c>
      <c r="L607" s="50">
        <f t="shared" si="1189"/>
        <v>1</v>
      </c>
      <c r="M607" s="44"/>
      <c r="N607" s="41"/>
      <c r="O607" s="41"/>
      <c r="P607" s="41"/>
      <c r="Q607" s="41"/>
      <c r="R607" s="41"/>
      <c r="S607" s="41"/>
      <c r="T607" s="43"/>
      <c r="U607" s="41"/>
      <c r="V607" s="41"/>
      <c r="W607" s="41"/>
      <c r="X607" s="43"/>
      <c r="Y607" s="41"/>
      <c r="Z607" s="43"/>
      <c r="AA607" s="41"/>
      <c r="AB607" s="43"/>
      <c r="AC607" s="41"/>
      <c r="AD607" s="41"/>
      <c r="AE607" s="41"/>
      <c r="AF607" s="41"/>
      <c r="AG607" s="41"/>
      <c r="AH607" s="41"/>
      <c r="AI607" s="41"/>
      <c r="AJ607" s="41"/>
      <c r="AK607" s="41"/>
      <c r="AL607" s="33"/>
    </row>
    <row r="608" spans="2:38" ht="57.75" x14ac:dyDescent="0.25">
      <c r="B608" s="49">
        <v>56504</v>
      </c>
      <c r="C608" s="49" t="s">
        <v>544</v>
      </c>
      <c r="D608" s="49">
        <v>0</v>
      </c>
      <c r="E608" s="49">
        <v>1</v>
      </c>
      <c r="F608" s="49" t="s">
        <v>49</v>
      </c>
      <c r="G608" s="64" t="s">
        <v>416</v>
      </c>
      <c r="H608" s="28" t="s">
        <v>43</v>
      </c>
      <c r="I608" s="143" t="s">
        <v>44</v>
      </c>
      <c r="J608" s="144"/>
      <c r="K608" s="50">
        <v>1</v>
      </c>
      <c r="L608" s="50">
        <f t="shared" si="1189"/>
        <v>1</v>
      </c>
      <c r="M608" s="44"/>
      <c r="N608" s="41"/>
      <c r="O608" s="41"/>
      <c r="P608" s="41"/>
      <c r="Q608" s="41"/>
      <c r="R608" s="41"/>
      <c r="S608" s="41"/>
      <c r="T608" s="43"/>
      <c r="U608" s="41"/>
      <c r="V608" s="41"/>
      <c r="W608" s="41"/>
      <c r="X608" s="43"/>
      <c r="Y608" s="41"/>
      <c r="Z608" s="43"/>
      <c r="AA608" s="41"/>
      <c r="AB608" s="43"/>
      <c r="AC608" s="41"/>
      <c r="AD608" s="41"/>
      <c r="AE608" s="41"/>
      <c r="AF608" s="41"/>
      <c r="AG608" s="41"/>
      <c r="AH608" s="41"/>
      <c r="AI608" s="41"/>
      <c r="AJ608" s="41"/>
      <c r="AK608" s="41"/>
      <c r="AL608" s="33"/>
    </row>
    <row r="609" spans="2:38" ht="57.75" x14ac:dyDescent="0.25">
      <c r="B609" s="49">
        <v>56702</v>
      </c>
      <c r="C609" s="49" t="s">
        <v>545</v>
      </c>
      <c r="D609" s="49">
        <v>0</v>
      </c>
      <c r="E609" s="49">
        <v>1</v>
      </c>
      <c r="F609" s="49" t="s">
        <v>49</v>
      </c>
      <c r="G609" s="64" t="s">
        <v>416</v>
      </c>
      <c r="H609" s="28" t="s">
        <v>43</v>
      </c>
      <c r="I609" s="143" t="s">
        <v>44</v>
      </c>
      <c r="J609" s="144"/>
      <c r="K609" s="50">
        <v>2000</v>
      </c>
      <c r="L609" s="50">
        <f t="shared" si="1189"/>
        <v>2000</v>
      </c>
      <c r="M609" s="44"/>
      <c r="N609" s="41"/>
      <c r="O609" s="41"/>
      <c r="P609" s="41"/>
      <c r="Q609" s="41"/>
      <c r="R609" s="41"/>
      <c r="S609" s="41"/>
      <c r="T609" s="43"/>
      <c r="U609" s="41"/>
      <c r="V609" s="41"/>
      <c r="W609" s="41"/>
      <c r="X609" s="43"/>
      <c r="Y609" s="41"/>
      <c r="Z609" s="43"/>
      <c r="AA609" s="41"/>
      <c r="AB609" s="43"/>
      <c r="AC609" s="41"/>
      <c r="AD609" s="41"/>
      <c r="AE609" s="41"/>
      <c r="AF609" s="41"/>
      <c r="AG609" s="41"/>
      <c r="AH609" s="41"/>
      <c r="AI609" s="41"/>
      <c r="AJ609" s="41"/>
      <c r="AK609" s="41"/>
      <c r="AL609" s="33"/>
    </row>
    <row r="610" spans="2:38" ht="57.75" x14ac:dyDescent="0.25">
      <c r="B610" s="49">
        <v>56703</v>
      </c>
      <c r="C610" s="49" t="s">
        <v>479</v>
      </c>
      <c r="D610" s="49">
        <v>0</v>
      </c>
      <c r="E610" s="49">
        <v>1</v>
      </c>
      <c r="F610" s="49" t="s">
        <v>49</v>
      </c>
      <c r="G610" s="64" t="s">
        <v>416</v>
      </c>
      <c r="H610" s="28" t="s">
        <v>43</v>
      </c>
      <c r="I610" s="143" t="s">
        <v>44</v>
      </c>
      <c r="J610" s="144"/>
      <c r="K610" s="50">
        <v>2000</v>
      </c>
      <c r="L610" s="50">
        <f t="shared" si="1189"/>
        <v>2000</v>
      </c>
      <c r="M610" s="1">
        <v>3000</v>
      </c>
      <c r="N610" s="41">
        <v>0</v>
      </c>
      <c r="O610" s="41">
        <f t="shared" ref="O610:O611" si="1190">N610*K610</f>
        <v>0</v>
      </c>
      <c r="P610" s="41">
        <v>1</v>
      </c>
      <c r="Q610" s="41">
        <f t="shared" ref="Q610:Q611" si="1191">K610*P610</f>
        <v>2000</v>
      </c>
      <c r="R610" s="41">
        <v>0</v>
      </c>
      <c r="S610" s="41">
        <f t="shared" ref="S610:S611" si="1192">K610*R610</f>
        <v>0</v>
      </c>
      <c r="T610" s="43">
        <v>0</v>
      </c>
      <c r="U610" s="41">
        <f t="shared" ref="U610:U611" si="1193">K610*T610</f>
        <v>0</v>
      </c>
      <c r="V610" s="41">
        <v>0</v>
      </c>
      <c r="W610" s="41">
        <f t="shared" ref="W610:W611" si="1194">K610*V610</f>
        <v>0</v>
      </c>
      <c r="X610" s="43">
        <v>0</v>
      </c>
      <c r="Y610" s="41">
        <f t="shared" ref="Y610:Y611" si="1195">K610*X610</f>
        <v>0</v>
      </c>
      <c r="Z610" s="43">
        <v>0</v>
      </c>
      <c r="AA610" s="41">
        <f t="shared" ref="AA610:AA611" si="1196">K610*Z610</f>
        <v>0</v>
      </c>
      <c r="AB610" s="43">
        <v>0</v>
      </c>
      <c r="AC610" s="41">
        <f t="shared" ref="AC610:AC611" si="1197">K610*AB610</f>
        <v>0</v>
      </c>
      <c r="AD610" s="41">
        <v>0</v>
      </c>
      <c r="AE610" s="41">
        <f t="shared" ref="AE610:AE611" si="1198">K610*AD610</f>
        <v>0</v>
      </c>
      <c r="AF610" s="41">
        <v>0</v>
      </c>
      <c r="AG610" s="41">
        <f t="shared" ref="AG610:AG611" si="1199">K610*AF610</f>
        <v>0</v>
      </c>
      <c r="AH610" s="41">
        <v>0</v>
      </c>
      <c r="AI610" s="41">
        <f t="shared" ref="AI610:AI611" si="1200">K610*AH610</f>
        <v>0</v>
      </c>
      <c r="AJ610" s="41">
        <v>0</v>
      </c>
      <c r="AK610" s="41">
        <f t="shared" ref="AK610:AK611" si="1201">K610*AJ610</f>
        <v>0</v>
      </c>
      <c r="AL610" s="33">
        <f t="shared" ref="AL610" si="1202">O610+Q610+S610+U610+W610+Y610+AA610+AC610+AE610+AG610+AI610+AK610</f>
        <v>2000</v>
      </c>
    </row>
    <row r="611" spans="2:38" ht="57.75" x14ac:dyDescent="0.25">
      <c r="B611" s="49">
        <v>56704</v>
      </c>
      <c r="C611" s="49" t="s">
        <v>480</v>
      </c>
      <c r="D611" s="49">
        <v>0</v>
      </c>
      <c r="E611" s="49">
        <v>1</v>
      </c>
      <c r="F611" s="49" t="s">
        <v>49</v>
      </c>
      <c r="G611" s="64" t="s">
        <v>416</v>
      </c>
      <c r="H611" s="28" t="s">
        <v>43</v>
      </c>
      <c r="I611" s="143" t="s">
        <v>44</v>
      </c>
      <c r="J611" s="144"/>
      <c r="K611" s="50">
        <v>2000</v>
      </c>
      <c r="L611" s="50">
        <f t="shared" si="1189"/>
        <v>2000</v>
      </c>
      <c r="M611" s="1">
        <v>3000</v>
      </c>
      <c r="N611" s="41">
        <v>0</v>
      </c>
      <c r="O611" s="41">
        <f t="shared" si="1190"/>
        <v>0</v>
      </c>
      <c r="P611" s="41">
        <v>1</v>
      </c>
      <c r="Q611" s="41">
        <f t="shared" si="1191"/>
        <v>2000</v>
      </c>
      <c r="R611" s="41">
        <v>0</v>
      </c>
      <c r="S611" s="41">
        <f t="shared" si="1192"/>
        <v>0</v>
      </c>
      <c r="T611" s="43">
        <v>0</v>
      </c>
      <c r="U611" s="41">
        <f t="shared" si="1193"/>
        <v>0</v>
      </c>
      <c r="V611" s="41">
        <v>0</v>
      </c>
      <c r="W611" s="41">
        <f t="shared" si="1194"/>
        <v>0</v>
      </c>
      <c r="X611" s="43">
        <v>0</v>
      </c>
      <c r="Y611" s="41">
        <f t="shared" si="1195"/>
        <v>0</v>
      </c>
      <c r="Z611" s="43">
        <v>0</v>
      </c>
      <c r="AA611" s="41">
        <f t="shared" si="1196"/>
        <v>0</v>
      </c>
      <c r="AB611" s="43">
        <v>0</v>
      </c>
      <c r="AC611" s="41">
        <f t="shared" si="1197"/>
        <v>0</v>
      </c>
      <c r="AD611" s="41">
        <v>0</v>
      </c>
      <c r="AE611" s="41">
        <f t="shared" si="1198"/>
        <v>0</v>
      </c>
      <c r="AF611" s="41">
        <v>0</v>
      </c>
      <c r="AG611" s="41">
        <f t="shared" si="1199"/>
        <v>0</v>
      </c>
      <c r="AH611" s="41">
        <v>0</v>
      </c>
      <c r="AI611" s="41">
        <f t="shared" si="1200"/>
        <v>0</v>
      </c>
      <c r="AJ611" s="41">
        <v>0</v>
      </c>
      <c r="AK611" s="41">
        <f t="shared" si="1201"/>
        <v>0</v>
      </c>
      <c r="AL611" s="33">
        <f t="shared" si="1161"/>
        <v>2000</v>
      </c>
    </row>
    <row r="613" spans="2:38" ht="42" customHeight="1" x14ac:dyDescent="0.25"/>
    <row r="614" spans="2:38" x14ac:dyDescent="0.25">
      <c r="C614" s="139" t="s">
        <v>483</v>
      </c>
      <c r="D614" s="139"/>
      <c r="E614" s="139"/>
      <c r="F614" s="139"/>
      <c r="G614" s="139"/>
    </row>
    <row r="615" spans="2:38" x14ac:dyDescent="0.25">
      <c r="C615" s="139" t="s">
        <v>481</v>
      </c>
      <c r="D615" s="139"/>
      <c r="E615" s="139"/>
      <c r="F615" s="139"/>
      <c r="G615" s="139"/>
    </row>
    <row r="616" spans="2:38" x14ac:dyDescent="0.25">
      <c r="C616" s="140" t="s">
        <v>482</v>
      </c>
      <c r="D616" s="140"/>
      <c r="E616" s="140"/>
      <c r="F616" s="140"/>
      <c r="G616" s="140"/>
    </row>
  </sheetData>
  <mergeCells count="605">
    <mergeCell ref="I339:J339"/>
    <mergeCell ref="I340:J340"/>
    <mergeCell ref="I366:J366"/>
    <mergeCell ref="I367:J367"/>
    <mergeCell ref="I368:J368"/>
    <mergeCell ref="I382:J382"/>
    <mergeCell ref="I383:J383"/>
    <mergeCell ref="I141:J141"/>
    <mergeCell ref="I564:J564"/>
    <mergeCell ref="I490:J490"/>
    <mergeCell ref="I493:J493"/>
    <mergeCell ref="I496:J496"/>
    <mergeCell ref="I433:J433"/>
    <mergeCell ref="I434:J434"/>
    <mergeCell ref="I435:J435"/>
    <mergeCell ref="I436:J436"/>
    <mergeCell ref="I443:J443"/>
    <mergeCell ref="I444:J444"/>
    <mergeCell ref="I451:J451"/>
    <mergeCell ref="I452:J452"/>
    <mergeCell ref="I453:J453"/>
    <mergeCell ref="I476:J476"/>
    <mergeCell ref="I477:J477"/>
    <mergeCell ref="I478:J478"/>
    <mergeCell ref="I154:J154"/>
    <mergeCell ref="I155:J155"/>
    <mergeCell ref="I156:J156"/>
    <mergeCell ref="I157:J157"/>
    <mergeCell ref="I158:J158"/>
    <mergeCell ref="I159:J159"/>
    <mergeCell ref="I148:J148"/>
    <mergeCell ref="I149:J149"/>
    <mergeCell ref="I150:J150"/>
    <mergeCell ref="I151:J151"/>
    <mergeCell ref="I152:J152"/>
    <mergeCell ref="I485:J485"/>
    <mergeCell ref="I487:J487"/>
    <mergeCell ref="I469:J469"/>
    <mergeCell ref="I470:J470"/>
    <mergeCell ref="I472:J472"/>
    <mergeCell ref="I473:J473"/>
    <mergeCell ref="I611:J611"/>
    <mergeCell ref="C615:G615"/>
    <mergeCell ref="I591:J591"/>
    <mergeCell ref="I592:J592"/>
    <mergeCell ref="I593:J593"/>
    <mergeCell ref="I595:J595"/>
    <mergeCell ref="I596:J596"/>
    <mergeCell ref="I600:J600"/>
    <mergeCell ref="I587:J587"/>
    <mergeCell ref="I588:J588"/>
    <mergeCell ref="I589:J589"/>
    <mergeCell ref="I590:J590"/>
    <mergeCell ref="I597:J597"/>
    <mergeCell ref="I598:J598"/>
    <mergeCell ref="I594:J594"/>
    <mergeCell ref="I599:J599"/>
    <mergeCell ref="I584:J584"/>
    <mergeCell ref="C616:G616"/>
    <mergeCell ref="C614:G614"/>
    <mergeCell ref="I601:J601"/>
    <mergeCell ref="I602:J602"/>
    <mergeCell ref="I603:J603"/>
    <mergeCell ref="I605:J605"/>
    <mergeCell ref="I606:J606"/>
    <mergeCell ref="I610:J610"/>
    <mergeCell ref="I604:J604"/>
    <mergeCell ref="I607:J607"/>
    <mergeCell ref="I608:J608"/>
    <mergeCell ref="I609:J609"/>
    <mergeCell ref="I585:J585"/>
    <mergeCell ref="I586:J586"/>
    <mergeCell ref="I575:J575"/>
    <mergeCell ref="I576:J576"/>
    <mergeCell ref="I577:J577"/>
    <mergeCell ref="I578:J578"/>
    <mergeCell ref="I582:J582"/>
    <mergeCell ref="I583:J583"/>
    <mergeCell ref="I579:J579"/>
    <mergeCell ref="I580:J580"/>
    <mergeCell ref="I581:J581"/>
    <mergeCell ref="I563:J563"/>
    <mergeCell ref="I567:J567"/>
    <mergeCell ref="I568:J568"/>
    <mergeCell ref="I569:J569"/>
    <mergeCell ref="I573:J573"/>
    <mergeCell ref="I574:J574"/>
    <mergeCell ref="I552:J552"/>
    <mergeCell ref="I554:J554"/>
    <mergeCell ref="I556:J556"/>
    <mergeCell ref="I558:J558"/>
    <mergeCell ref="I561:J561"/>
    <mergeCell ref="I572:J572"/>
    <mergeCell ref="I565:J565"/>
    <mergeCell ref="I539:J539"/>
    <mergeCell ref="I540:J540"/>
    <mergeCell ref="I541:J541"/>
    <mergeCell ref="I542:J542"/>
    <mergeCell ref="I544:J544"/>
    <mergeCell ref="I549:J549"/>
    <mergeCell ref="I533:J533"/>
    <mergeCell ref="I534:J534"/>
    <mergeCell ref="I535:J535"/>
    <mergeCell ref="I536:J536"/>
    <mergeCell ref="I537:J537"/>
    <mergeCell ref="I538:J538"/>
    <mergeCell ref="I545:J545"/>
    <mergeCell ref="I547:J547"/>
    <mergeCell ref="I523:J523"/>
    <mergeCell ref="I524:J524"/>
    <mergeCell ref="I525:J525"/>
    <mergeCell ref="I528:J528"/>
    <mergeCell ref="I530:J530"/>
    <mergeCell ref="I531:J531"/>
    <mergeCell ref="I510:J510"/>
    <mergeCell ref="I511:J511"/>
    <mergeCell ref="I516:J516"/>
    <mergeCell ref="I518:J518"/>
    <mergeCell ref="I521:J521"/>
    <mergeCell ref="I522:J522"/>
    <mergeCell ref="I513:J513"/>
    <mergeCell ref="I526:J526"/>
    <mergeCell ref="I504:J504"/>
    <mergeCell ref="I505:J505"/>
    <mergeCell ref="I506:J506"/>
    <mergeCell ref="I507:J507"/>
    <mergeCell ref="I508:J508"/>
    <mergeCell ref="I509:J509"/>
    <mergeCell ref="I491:J491"/>
    <mergeCell ref="I494:J494"/>
    <mergeCell ref="I499:J499"/>
    <mergeCell ref="I500:J500"/>
    <mergeCell ref="I502:J502"/>
    <mergeCell ref="I503:J503"/>
    <mergeCell ref="I498:J498"/>
    <mergeCell ref="I501:J501"/>
    <mergeCell ref="I474:J474"/>
    <mergeCell ref="I475:J475"/>
    <mergeCell ref="I483:J483"/>
    <mergeCell ref="I460:J460"/>
    <mergeCell ref="I461:J461"/>
    <mergeCell ref="I462:J462"/>
    <mergeCell ref="I467:J467"/>
    <mergeCell ref="I466:J466"/>
    <mergeCell ref="I468:J468"/>
    <mergeCell ref="I471:J471"/>
    <mergeCell ref="I481:J481"/>
    <mergeCell ref="I480:J480"/>
    <mergeCell ref="I454:J454"/>
    <mergeCell ref="I455:J455"/>
    <mergeCell ref="I456:J456"/>
    <mergeCell ref="I457:J457"/>
    <mergeCell ref="I458:J458"/>
    <mergeCell ref="I459:J459"/>
    <mergeCell ref="I463:J463"/>
    <mergeCell ref="I464:J464"/>
    <mergeCell ref="I465:J465"/>
    <mergeCell ref="I445:J445"/>
    <mergeCell ref="I446:J446"/>
    <mergeCell ref="I447:J447"/>
    <mergeCell ref="I448:J448"/>
    <mergeCell ref="I449:J449"/>
    <mergeCell ref="I450:J450"/>
    <mergeCell ref="I437:J437"/>
    <mergeCell ref="I438:J438"/>
    <mergeCell ref="I439:J439"/>
    <mergeCell ref="I440:J440"/>
    <mergeCell ref="I441:J441"/>
    <mergeCell ref="I442:J442"/>
    <mergeCell ref="I427:J427"/>
    <mergeCell ref="I428:J428"/>
    <mergeCell ref="I429:J429"/>
    <mergeCell ref="I430:J430"/>
    <mergeCell ref="I431:J431"/>
    <mergeCell ref="I432:J432"/>
    <mergeCell ref="I421:J421"/>
    <mergeCell ref="I422:J422"/>
    <mergeCell ref="I423:J423"/>
    <mergeCell ref="I424:J424"/>
    <mergeCell ref="I425:J425"/>
    <mergeCell ref="I426:J426"/>
    <mergeCell ref="I415:J415"/>
    <mergeCell ref="I416:J416"/>
    <mergeCell ref="I417:J417"/>
    <mergeCell ref="I418:J418"/>
    <mergeCell ref="I419:J419"/>
    <mergeCell ref="I420:J420"/>
    <mergeCell ref="I409:J409"/>
    <mergeCell ref="I410:J410"/>
    <mergeCell ref="I411:J411"/>
    <mergeCell ref="I412:J412"/>
    <mergeCell ref="I413:J413"/>
    <mergeCell ref="I414:J414"/>
    <mergeCell ref="I403:J403"/>
    <mergeCell ref="I404:J404"/>
    <mergeCell ref="I405:J405"/>
    <mergeCell ref="I406:J406"/>
    <mergeCell ref="I407:J407"/>
    <mergeCell ref="I408:J408"/>
    <mergeCell ref="I397:J397"/>
    <mergeCell ref="I398:J398"/>
    <mergeCell ref="I399:J399"/>
    <mergeCell ref="I400:J400"/>
    <mergeCell ref="I401:J401"/>
    <mergeCell ref="I402:J402"/>
    <mergeCell ref="I391:J391"/>
    <mergeCell ref="I392:J392"/>
    <mergeCell ref="I393:J393"/>
    <mergeCell ref="I394:J394"/>
    <mergeCell ref="I395:J395"/>
    <mergeCell ref="I396:J396"/>
    <mergeCell ref="I385:J385"/>
    <mergeCell ref="I386:J386"/>
    <mergeCell ref="I387:J387"/>
    <mergeCell ref="I388:J388"/>
    <mergeCell ref="I389:J389"/>
    <mergeCell ref="I390:J390"/>
    <mergeCell ref="I377:J377"/>
    <mergeCell ref="I378:J378"/>
    <mergeCell ref="I379:J379"/>
    <mergeCell ref="I380:J380"/>
    <mergeCell ref="I381:J381"/>
    <mergeCell ref="I384:J384"/>
    <mergeCell ref="I371:J371"/>
    <mergeCell ref="I372:J372"/>
    <mergeCell ref="I373:J373"/>
    <mergeCell ref="I374:J374"/>
    <mergeCell ref="I375:J375"/>
    <mergeCell ref="I376:J376"/>
    <mergeCell ref="I364:J364"/>
    <mergeCell ref="I365:J365"/>
    <mergeCell ref="I369:J369"/>
    <mergeCell ref="I370:J370"/>
    <mergeCell ref="I355:J355"/>
    <mergeCell ref="I359:J359"/>
    <mergeCell ref="I360:J360"/>
    <mergeCell ref="I361:J361"/>
    <mergeCell ref="I362:J362"/>
    <mergeCell ref="I363:J363"/>
    <mergeCell ref="I356:J356"/>
    <mergeCell ref="I357:J357"/>
    <mergeCell ref="I358:J358"/>
    <mergeCell ref="I347:J347"/>
    <mergeCell ref="I350:J350"/>
    <mergeCell ref="I351:J351"/>
    <mergeCell ref="I352:J352"/>
    <mergeCell ref="I353:J353"/>
    <mergeCell ref="I354:J354"/>
    <mergeCell ref="I341:J341"/>
    <mergeCell ref="I342:J342"/>
    <mergeCell ref="I343:J343"/>
    <mergeCell ref="I344:J344"/>
    <mergeCell ref="I345:J345"/>
    <mergeCell ref="I346:J346"/>
    <mergeCell ref="I348:J348"/>
    <mergeCell ref="I349:J349"/>
    <mergeCell ref="I333:J333"/>
    <mergeCell ref="I334:J334"/>
    <mergeCell ref="I335:J335"/>
    <mergeCell ref="I336:J336"/>
    <mergeCell ref="I337:J337"/>
    <mergeCell ref="I338:J338"/>
    <mergeCell ref="I327:J327"/>
    <mergeCell ref="I328:J328"/>
    <mergeCell ref="I329:J329"/>
    <mergeCell ref="I330:J330"/>
    <mergeCell ref="I331:J331"/>
    <mergeCell ref="I332:J332"/>
    <mergeCell ref="I310:J310"/>
    <mergeCell ref="I313:J313"/>
    <mergeCell ref="I314:J314"/>
    <mergeCell ref="I324:J324"/>
    <mergeCell ref="I325:J325"/>
    <mergeCell ref="I326:J326"/>
    <mergeCell ref="I305:J305"/>
    <mergeCell ref="I306:J306"/>
    <mergeCell ref="I307:J307"/>
    <mergeCell ref="I308:J308"/>
    <mergeCell ref="I309:J309"/>
    <mergeCell ref="I311:J311"/>
    <mergeCell ref="I312:J312"/>
    <mergeCell ref="I316:J316"/>
    <mergeCell ref="I318:J318"/>
    <mergeCell ref="I320:J320"/>
    <mergeCell ref="I322:J322"/>
    <mergeCell ref="I323:J323"/>
    <mergeCell ref="I299:J299"/>
    <mergeCell ref="I300:J300"/>
    <mergeCell ref="I301:J301"/>
    <mergeCell ref="I302:J302"/>
    <mergeCell ref="I303:J303"/>
    <mergeCell ref="I304:J304"/>
    <mergeCell ref="I293:J293"/>
    <mergeCell ref="I294:J294"/>
    <mergeCell ref="I295:J295"/>
    <mergeCell ref="I296:J296"/>
    <mergeCell ref="I297:J297"/>
    <mergeCell ref="I298:J298"/>
    <mergeCell ref="I286:J286"/>
    <mergeCell ref="I287:J287"/>
    <mergeCell ref="I288:J288"/>
    <mergeCell ref="I289:J289"/>
    <mergeCell ref="I290:J290"/>
    <mergeCell ref="I292:J292"/>
    <mergeCell ref="I279:J279"/>
    <mergeCell ref="I280:J280"/>
    <mergeCell ref="I281:J281"/>
    <mergeCell ref="I282:J282"/>
    <mergeCell ref="I283:J283"/>
    <mergeCell ref="I284:J284"/>
    <mergeCell ref="I291:J291"/>
    <mergeCell ref="I273:J273"/>
    <mergeCell ref="I274:J274"/>
    <mergeCell ref="I275:J275"/>
    <mergeCell ref="I276:J276"/>
    <mergeCell ref="I277:J277"/>
    <mergeCell ref="I278:J278"/>
    <mergeCell ref="I267:J267"/>
    <mergeCell ref="I268:J268"/>
    <mergeCell ref="I269:J269"/>
    <mergeCell ref="I270:J270"/>
    <mergeCell ref="I271:J271"/>
    <mergeCell ref="I272:J272"/>
    <mergeCell ref="I257:J257"/>
    <mergeCell ref="I258:J258"/>
    <mergeCell ref="I261:J261"/>
    <mergeCell ref="I262:J262"/>
    <mergeCell ref="I263:J263"/>
    <mergeCell ref="I266:J266"/>
    <mergeCell ref="I251:J251"/>
    <mergeCell ref="I252:J252"/>
    <mergeCell ref="I253:J253"/>
    <mergeCell ref="I254:J254"/>
    <mergeCell ref="I255:J255"/>
    <mergeCell ref="I256:J256"/>
    <mergeCell ref="I259:J259"/>
    <mergeCell ref="I264:J264"/>
    <mergeCell ref="I265:J265"/>
    <mergeCell ref="I245:J245"/>
    <mergeCell ref="I246:J246"/>
    <mergeCell ref="I247:J247"/>
    <mergeCell ref="I248:J248"/>
    <mergeCell ref="I249:J249"/>
    <mergeCell ref="I250:J250"/>
    <mergeCell ref="I239:J239"/>
    <mergeCell ref="I240:J240"/>
    <mergeCell ref="I241:J241"/>
    <mergeCell ref="I242:J242"/>
    <mergeCell ref="I243:J243"/>
    <mergeCell ref="I244:J244"/>
    <mergeCell ref="I233:J233"/>
    <mergeCell ref="I234:J234"/>
    <mergeCell ref="I235:J235"/>
    <mergeCell ref="I236:J236"/>
    <mergeCell ref="I237:J237"/>
    <mergeCell ref="I238:J238"/>
    <mergeCell ref="I227:J227"/>
    <mergeCell ref="I228:J228"/>
    <mergeCell ref="I229:J229"/>
    <mergeCell ref="I230:J230"/>
    <mergeCell ref="I231:J231"/>
    <mergeCell ref="I232:J232"/>
    <mergeCell ref="I221:J221"/>
    <mergeCell ref="I222:J222"/>
    <mergeCell ref="I223:J223"/>
    <mergeCell ref="I224:J224"/>
    <mergeCell ref="I225:J225"/>
    <mergeCell ref="I226:J226"/>
    <mergeCell ref="I215:J215"/>
    <mergeCell ref="I216:J216"/>
    <mergeCell ref="I217:J217"/>
    <mergeCell ref="I218:J218"/>
    <mergeCell ref="I219:J219"/>
    <mergeCell ref="I220:J220"/>
    <mergeCell ref="I212:J212"/>
    <mergeCell ref="I213:J213"/>
    <mergeCell ref="I214:J214"/>
    <mergeCell ref="I206:J206"/>
    <mergeCell ref="I207:J207"/>
    <mergeCell ref="I208:J208"/>
    <mergeCell ref="I209:J209"/>
    <mergeCell ref="I210:J210"/>
    <mergeCell ref="I211:J211"/>
    <mergeCell ref="I199:J199"/>
    <mergeCell ref="I200:J200"/>
    <mergeCell ref="I202:J202"/>
    <mergeCell ref="I203:J203"/>
    <mergeCell ref="I204:J204"/>
    <mergeCell ref="I205:J205"/>
    <mergeCell ref="I193:J193"/>
    <mergeCell ref="I194:J194"/>
    <mergeCell ref="I195:J195"/>
    <mergeCell ref="I196:J196"/>
    <mergeCell ref="I197:J197"/>
    <mergeCell ref="I198:J198"/>
    <mergeCell ref="I201:J201"/>
    <mergeCell ref="I186:J186"/>
    <mergeCell ref="I187:J187"/>
    <mergeCell ref="I188:J188"/>
    <mergeCell ref="I189:J189"/>
    <mergeCell ref="I190:J190"/>
    <mergeCell ref="I192:J192"/>
    <mergeCell ref="I180:J180"/>
    <mergeCell ref="I181:J181"/>
    <mergeCell ref="I182:J182"/>
    <mergeCell ref="I183:J183"/>
    <mergeCell ref="I184:J184"/>
    <mergeCell ref="I185:J185"/>
    <mergeCell ref="I191:J191"/>
    <mergeCell ref="I178:J178"/>
    <mergeCell ref="I179:J179"/>
    <mergeCell ref="I166:J166"/>
    <mergeCell ref="I167:J167"/>
    <mergeCell ref="I168:J168"/>
    <mergeCell ref="I169:J169"/>
    <mergeCell ref="I170:J170"/>
    <mergeCell ref="I171:J171"/>
    <mergeCell ref="I160:J160"/>
    <mergeCell ref="I161:J161"/>
    <mergeCell ref="I162:J162"/>
    <mergeCell ref="I163:J163"/>
    <mergeCell ref="I164:J164"/>
    <mergeCell ref="I165:J165"/>
    <mergeCell ref="I177:J177"/>
    <mergeCell ref="I172:J172"/>
    <mergeCell ref="I173:J173"/>
    <mergeCell ref="I174:J174"/>
    <mergeCell ref="I175:J175"/>
    <mergeCell ref="I153:J153"/>
    <mergeCell ref="I139:J139"/>
    <mergeCell ref="I140:J140"/>
    <mergeCell ref="I142:J142"/>
    <mergeCell ref="I145:J145"/>
    <mergeCell ref="I146:J146"/>
    <mergeCell ref="I147:J147"/>
    <mergeCell ref="I133:J133"/>
    <mergeCell ref="I134:J134"/>
    <mergeCell ref="I135:J135"/>
    <mergeCell ref="I136:J136"/>
    <mergeCell ref="I137:J137"/>
    <mergeCell ref="I138:J138"/>
    <mergeCell ref="I143:J143"/>
    <mergeCell ref="I144:J144"/>
    <mergeCell ref="I127:J127"/>
    <mergeCell ref="I128:J128"/>
    <mergeCell ref="I129:J129"/>
    <mergeCell ref="I130:J130"/>
    <mergeCell ref="I131:J131"/>
    <mergeCell ref="I132:J132"/>
    <mergeCell ref="I121:J121"/>
    <mergeCell ref="I122:J122"/>
    <mergeCell ref="I123:J123"/>
    <mergeCell ref="I124:J124"/>
    <mergeCell ref="I125:J125"/>
    <mergeCell ref="I126:J126"/>
    <mergeCell ref="I115:J115"/>
    <mergeCell ref="I116:J116"/>
    <mergeCell ref="I117:J117"/>
    <mergeCell ref="I118:J118"/>
    <mergeCell ref="I119:J119"/>
    <mergeCell ref="I120:J120"/>
    <mergeCell ref="I109:J109"/>
    <mergeCell ref="I110:J110"/>
    <mergeCell ref="I111:J111"/>
    <mergeCell ref="I112:J112"/>
    <mergeCell ref="I113:J113"/>
    <mergeCell ref="I114:J114"/>
    <mergeCell ref="I99:J99"/>
    <mergeCell ref="I100:J100"/>
    <mergeCell ref="I101:J101"/>
    <mergeCell ref="I106:J106"/>
    <mergeCell ref="I107:J107"/>
    <mergeCell ref="I108:J108"/>
    <mergeCell ref="I93:J93"/>
    <mergeCell ref="I94:J94"/>
    <mergeCell ref="I95:J95"/>
    <mergeCell ref="I96:J96"/>
    <mergeCell ref="I97:J97"/>
    <mergeCell ref="I98:J98"/>
    <mergeCell ref="I103:J103"/>
    <mergeCell ref="I104:J104"/>
    <mergeCell ref="I105:J105"/>
    <mergeCell ref="I87:J87"/>
    <mergeCell ref="I88:J88"/>
    <mergeCell ref="I89:J89"/>
    <mergeCell ref="I90:J90"/>
    <mergeCell ref="I91:J91"/>
    <mergeCell ref="I92:J92"/>
    <mergeCell ref="I81:J81"/>
    <mergeCell ref="I82:J82"/>
    <mergeCell ref="I83:J83"/>
    <mergeCell ref="I84:J84"/>
    <mergeCell ref="I85:J85"/>
    <mergeCell ref="I86:J86"/>
    <mergeCell ref="I75:J75"/>
    <mergeCell ref="I76:J76"/>
    <mergeCell ref="I77:J77"/>
    <mergeCell ref="I78:J78"/>
    <mergeCell ref="I79:J79"/>
    <mergeCell ref="I80:J80"/>
    <mergeCell ref="I69:J69"/>
    <mergeCell ref="I70:J70"/>
    <mergeCell ref="I71:J71"/>
    <mergeCell ref="I72:J72"/>
    <mergeCell ref="I73:J73"/>
    <mergeCell ref="I74:J74"/>
    <mergeCell ref="I63:J63"/>
    <mergeCell ref="I64:J64"/>
    <mergeCell ref="I65:J65"/>
    <mergeCell ref="I66:J66"/>
    <mergeCell ref="I67:J67"/>
    <mergeCell ref="I68:J68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48:J48"/>
    <mergeCell ref="I49:J49"/>
    <mergeCell ref="I50:J50"/>
    <mergeCell ref="I51:J51"/>
    <mergeCell ref="I52:J52"/>
    <mergeCell ref="I53:J53"/>
    <mergeCell ref="I42:J42"/>
    <mergeCell ref="I43:J43"/>
    <mergeCell ref="I44:J44"/>
    <mergeCell ref="I45:J45"/>
    <mergeCell ref="I46:J46"/>
    <mergeCell ref="I47:J47"/>
    <mergeCell ref="I36:J36"/>
    <mergeCell ref="I37:J37"/>
    <mergeCell ref="I38:J38"/>
    <mergeCell ref="I39:J39"/>
    <mergeCell ref="I40:J40"/>
    <mergeCell ref="I41:J41"/>
    <mergeCell ref="I30:J30"/>
    <mergeCell ref="I31:J31"/>
    <mergeCell ref="I32:J32"/>
    <mergeCell ref="I33:J33"/>
    <mergeCell ref="I34:J34"/>
    <mergeCell ref="I35:J35"/>
    <mergeCell ref="I24:J24"/>
    <mergeCell ref="I25:J25"/>
    <mergeCell ref="I26:J26"/>
    <mergeCell ref="I27:J27"/>
    <mergeCell ref="I28:J28"/>
    <mergeCell ref="I29:J29"/>
    <mergeCell ref="AA7:AA8"/>
    <mergeCell ref="AB7:AB8"/>
    <mergeCell ref="AC7:AC8"/>
    <mergeCell ref="I22:J22"/>
    <mergeCell ref="I19:J19"/>
    <mergeCell ref="I20:J20"/>
    <mergeCell ref="I21:J21"/>
    <mergeCell ref="I23:J23"/>
    <mergeCell ref="I18:J18"/>
    <mergeCell ref="I13:J13"/>
    <mergeCell ref="B6:B8"/>
    <mergeCell ref="C6:C8"/>
    <mergeCell ref="D6:D8"/>
    <mergeCell ref="E6:E8"/>
    <mergeCell ref="F6:F8"/>
    <mergeCell ref="G6:G8"/>
    <mergeCell ref="I12:J12"/>
    <mergeCell ref="I14:J14"/>
    <mergeCell ref="I15:J15"/>
    <mergeCell ref="I16:J16"/>
    <mergeCell ref="I17:J17"/>
    <mergeCell ref="AJ4:AK4"/>
    <mergeCell ref="AJ5:AK5"/>
    <mergeCell ref="AH2:AI2"/>
    <mergeCell ref="AH7:AH8"/>
    <mergeCell ref="AD7:AD8"/>
    <mergeCell ref="N7:N8"/>
    <mergeCell ref="O7:O8"/>
    <mergeCell ref="P7:P8"/>
    <mergeCell ref="Q7:Q8"/>
    <mergeCell ref="AI7:AI8"/>
    <mergeCell ref="AJ7:AJ8"/>
    <mergeCell ref="Y7:Y8"/>
    <mergeCell ref="Z7:Z8"/>
    <mergeCell ref="B1:D5"/>
    <mergeCell ref="E1:AG5"/>
    <mergeCell ref="S7:S8"/>
    <mergeCell ref="T7:T8"/>
    <mergeCell ref="U7:U8"/>
    <mergeCell ref="V7:V8"/>
    <mergeCell ref="W7:W8"/>
    <mergeCell ref="X7:X8"/>
    <mergeCell ref="H6:H8"/>
    <mergeCell ref="I6:J8"/>
    <mergeCell ref="K6:K8"/>
    <mergeCell ref="L6:L8"/>
    <mergeCell ref="N6:AK6"/>
    <mergeCell ref="R7:R8"/>
    <mergeCell ref="AK7:AK8"/>
    <mergeCell ref="AE7:AE8"/>
    <mergeCell ref="AF7:AF8"/>
    <mergeCell ref="AG7:AG8"/>
    <mergeCell ref="AJ2:AK2"/>
    <mergeCell ref="AJ3:AK3"/>
  </mergeCells>
  <printOptions horizontalCentered="1"/>
  <pageMargins left="0.70866141732283472" right="0.70866141732283472" top="0.74803149606299213" bottom="0.74803149606299213" header="0.31496062992125984" footer="0.31496062992125984"/>
  <pageSetup scale="51" fitToHeight="0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SHBG PAAAPS 2025 P IMPRIMIR</vt:lpstr>
      <vt:lpstr>'SHBG PAAAPS 2025 P IMPRIMIR'!Área_de_impresión</vt:lpstr>
      <vt:lpstr>'SHBG PAAAPS 2025 P IMPRIMIR'!Títulos_a_imprimir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SHBG DGA</dc:creator>
  <cp:lastModifiedBy>DGA</cp:lastModifiedBy>
  <cp:lastPrinted>2025-12-03T23:43:26Z</cp:lastPrinted>
  <dcterms:created xsi:type="dcterms:W3CDTF">2024-10-30T21:36:58Z</dcterms:created>
  <dcterms:modified xsi:type="dcterms:W3CDTF">2025-12-04T19:00:32Z</dcterms:modified>
</cp:coreProperties>
</file>